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5"/>
    <sheet name="Мужчины" sheetId="2" r:id="rId6"/>
    <sheet name="Женщины" sheetId="3" r:id="rId7"/>
    <sheet name="Инструкция" sheetId="4" r:id="rId8"/>
  </sheets>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<sst xmlns="http://schemas.openxmlformats.org/spreadsheetml/2006/main" uniqueCount="147">
  <si>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</si>
  <si>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</si>
  <si>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</si>
  <si>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</si>
  <si>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Мужчины</t>
  </si>
  <si>
    <t>Table 1</t>
  </si>
  <si>
    <t>Мужчины · Ерлер — призовые</t>
  </si>
  <si>
    <t>Вставьте протокол в жёлтые колонки начиная со строки 11 — остальное посчитается само.</t>
  </si>
  <si>
    <t>Стартовый взнос, ₸</t>
  </si>
  <si>
    <t>Выплачено, ₸</t>
  </si>
  <si>
    <t>служебное: порог без округления</t>
  </si>
  <si>
    <t>Оплатило взносов, чел.</t>
  </si>
  <si>
    <t>Остаток фонда, ₸</t>
  </si>
  <si>
    <t>служебное: выплаты без добавки</t>
  </si>
  <si>
    <t>Призовой фонд, ₸</t>
  </si>
  <si>
    <t>Призёров</t>
  </si>
  <si>
    <t>служебное: остаток без добавки</t>
  </si>
  <si>
    <t>Цена секунды, ₸</t>
  </si>
  <si>
    <t>Пороговое время, с</t>
  </si>
  <si>
    <t>служебное: призёров без добавки</t>
  </si>
  <si>
    <t>Округление выплаты, ₸</t>
  </si>
  <si>
    <t>Место</t>
  </si>
  <si>
    <t>Номер</t>
  </si>
  <si>
    <t>Участник</t>
  </si>
  <si>
    <t>Результат</t>
  </si>
  <si>
    <t>Время, с</t>
  </si>
  <si>
    <t>Опережение порога, с</t>
  </si>
  <si>
    <t>Приз до округления, ₸</t>
  </si>
  <si>
    <t>К выдаче, ₸</t>
  </si>
  <si>
    <t>служебное: двоеточий</t>
  </si>
  <si>
    <t>служебное: первое двоеточие</t>
  </si>
  <si>
    <t>служебное: второе двоеточие</t>
  </si>
  <si>
    <t>служебное: секунды текстом</t>
  </si>
  <si>
    <t>служебное: дробная часть</t>
  </si>
  <si>
    <t>служебное: время для расчёта</t>
  </si>
  <si>
    <t>служебное: сумма времён</t>
  </si>
  <si>
    <t>служебное: порог для места</t>
  </si>
  <si>
    <t>служебное: порог подходит</t>
  </si>
  <si>
    <t>служебное: перебор порога</t>
  </si>
  <si>
    <t>служебное: выплаты при пороге</t>
  </si>
  <si>
    <t>служебное: приз без добавки</t>
  </si>
  <si>
    <t>Yakovenko Yevgeniy</t>
  </si>
  <si>
    <t>00:40:11.5</t>
  </si>
  <si>
    <t>11.5</t>
  </si>
  <si>
    <t>Браун Алекс</t>
  </si>
  <si>
    <t>00:40:58.3</t>
  </si>
  <si>
    <t>58.3</t>
  </si>
  <si>
    <t>Zh Ruslan</t>
  </si>
  <si>
    <t>00:41:29.6</t>
  </si>
  <si>
    <t>29.6</t>
  </si>
  <si>
    <t>Chernykh Denis</t>
  </si>
  <si>
    <t>00:42:37.7</t>
  </si>
  <si>
    <t>37.7</t>
  </si>
  <si>
    <t>Esteuov Darkhan</t>
  </si>
  <si>
    <t>00:43:23.3</t>
  </si>
  <si>
    <t>23.3</t>
  </si>
  <si>
    <t>Levin Ruslan</t>
  </si>
  <si>
    <t>00:44:46.9</t>
  </si>
  <si>
    <t>46.9</t>
  </si>
  <si>
    <t>Russo Eugene</t>
  </si>
  <si>
    <t>00:46:41.0</t>
  </si>
  <si>
    <t>41.0</t>
  </si>
  <si>
    <t>K Timur</t>
  </si>
  <si>
    <t>00:47:12.6</t>
  </si>
  <si>
    <t>12.6</t>
  </si>
  <si>
    <t>Данияр Велямов</t>
  </si>
  <si>
    <t>00:48:13.2</t>
  </si>
  <si>
    <t>13.2</t>
  </si>
  <si>
    <t>Georgiadi Andrew</t>
  </si>
  <si>
    <t>00:49:56.7</t>
  </si>
  <si>
    <t>56.7</t>
  </si>
  <si>
    <t>Maszhan Daryn</t>
  </si>
  <si>
    <t>00:50:46.0</t>
  </si>
  <si>
    <t>46.0</t>
  </si>
  <si>
    <t>Федорук Сергей</t>
  </si>
  <si>
    <t>00:52:08.4</t>
  </si>
  <si>
    <t>08.4</t>
  </si>
  <si>
    <t>Амир Дам</t>
  </si>
  <si>
    <t>00:52:11.1</t>
  </si>
  <si>
    <t>11.1</t>
  </si>
  <si>
    <t>Moreno Bernardino Jesús</t>
  </si>
  <si>
    <t>00:52:32.5</t>
  </si>
  <si>
    <t>32.5</t>
  </si>
  <si>
    <t>Хрукалов Сергей</t>
  </si>
  <si>
    <t>00:53:54.3</t>
  </si>
  <si>
    <t>54.3</t>
  </si>
  <si>
    <t>Лым Тимур</t>
  </si>
  <si>
    <t>00:55:26.2</t>
  </si>
  <si>
    <t>26.2</t>
  </si>
  <si>
    <t>Kozaidar Dosym</t>
  </si>
  <si>
    <t>00:55:35.1</t>
  </si>
  <si>
    <t>35.1</t>
  </si>
  <si>
    <t>Бердалы Жанибек</t>
  </si>
  <si>
    <t>00:56:00.3</t>
  </si>
  <si>
    <t>00.3</t>
  </si>
  <si>
    <t>Dmitriy Shayakhmetov</t>
  </si>
  <si>
    <t>00:57:27.3</t>
  </si>
  <si>
    <t>27.3</t>
  </si>
  <si>
    <t>Voronov Viacheslav</t>
  </si>
  <si>
    <t>01:01:59.3</t>
  </si>
  <si>
    <t>59.3</t>
  </si>
  <si>
    <t>Нурпеисов Даник</t>
  </si>
  <si>
    <t>01:02:30.3</t>
  </si>
  <si>
    <t>30.3</t>
  </si>
  <si>
    <t>Женщины</t>
  </si>
  <si>
    <t>Женщины · Әйелдер — призовые</t>
  </si>
  <si>
    <t>Lapina Olga</t>
  </si>
  <si>
    <t>00:51:55.2</t>
  </si>
  <si>
    <t>55.2</t>
  </si>
  <si>
    <t>Ванюхина Ольга</t>
  </si>
  <si>
    <t>00:53:40.1</t>
  </si>
  <si>
    <t>40.1</t>
  </si>
  <si>
    <t>Сильченко Надежда</t>
  </si>
  <si>
    <t>01:04:48.3</t>
  </si>
  <si>
    <t>48.3</t>
  </si>
  <si>
    <t>Абилхан Сымба</t>
  </si>
  <si>
    <t>01:31:33.3</t>
  </si>
  <si>
    <t>33.3</t>
  </si>
  <si>
    <t>Инструкция</t>
  </si>
  <si>
    <t>Как считать призовые</t>
  </si>
  <si>
    <t>1. Откройте лист нужной категории — «Мужчины» или «Женщины». Фонды раздельные:</t>
  </si>
  <si>
    <t xml:space="preserve">   взносы женщин разыгрываются среди женщин, взносы мужчин — среди мужчин.</t>
  </si>
  <si>
    <t>2. Вставьте протокол в жёлтые колонки «Номер», «Участник», «Результат»,</t>
  </si>
  <si>
    <t xml:space="preserve">   начиная со строки 11, в порядке финиша — от лучшего времени к худшему.</t>
  </si>
  <si>
    <t xml:space="preserve">   Сошедших и снятых оставляйте без результата — место и приз им</t>
  </si>
  <si>
    <t xml:space="preserve">   не посчитаются, а во взносах они учтутся.</t>
  </si>
  <si>
    <t>3. Результат понимается в том виде, в каком его печатает протокол:</t>
  </si>
  <si>
    <t xml:space="preserve">   00:29:26.1, 34:12 или просто число секунд. Десятые доли учитываются.</t>
  </si>
  <si>
    <t>4. «Оплатило взносов» считается по колонке «Участник»: взнос платит и тот,</t>
  </si>
  <si>
    <t xml:space="preserve">   кто потом сошёл или был снят. Число можно перебить руками.</t>
  </si>
  <si>
    <t>5. Колонка «К выдаче» — это то, что вручается наличными.</t>
  </si>
  <si>
    <t>6. Если строки перепутаны местами, над таблицей загорится красное</t>
  </si>
  <si>
    <t xml:space="preserve">   предупреждение — призовые в этом случае считать нельзя.</t>
  </si>
  <si>
    <t>Правило из положения</t>
  </si>
  <si>
    <t>Каждая выигранная секунда стоит 100 ₸. Считаются они от порогового времени:</t>
  </si>
  <si>
    <t>участник получает за столько секунд, на сколько опередил порог. Победитель</t>
  </si>
  <si>
    <t>тем самым получает за отрыв от второго, первые двое — за отрыв от третьего</t>
  </si>
  <si>
    <t>и так далее, как и написано в положении.</t>
  </si>
  <si>
    <t>Само пороговое время книга подбирает так, чтобы фонд разошёлся целиком:</t>
  </si>
  <si>
    <t>суммы округляются до ближайшей тысячи, а порог двигается с шагом в десятую</t>
  </si>
  <si>
    <t>долю секунды, пока сумма выплат не сравняется с фондом. Найденный порог</t>
  </si>
  <si>
    <t>показан в шапке — по нему легко проверить любую строку вручную.</t>
  </si>
  <si>
    <t>Если попасть в фонд точно нельзя — так бывает, когда несколько участников</t>
  </si>
  <si>
    <t>показали совпадающее до десятой доли время, — лишняя тысяча достаётся первому</t>
  </si>
  <si>
    <t>из тех, кому ничего не досталось, а всё сверх неё остаётся в фонде.</t>
  </si>
  <si>
    <t>Колонки после «Время, с» — расчётные, их менять не нужно. Служебные колонки</t>
  </si>
  <si>
    <t>справа разбирают вставленный результат и перебирают пороговое время.</t>
  </si>
</sst>
</file>

<file path=xl/styles.xml><?xml version="1.0" encoding="utf-8"?>
<styleSheet xmlns="http://schemas.openxmlformats.org/spreadsheetml/2006/main">
  <numFmts count="3">
    <numFmt numFmtId="0" formatCode="General"/>
    <numFmt numFmtId="59" formatCode="#&quot; &quot;##0"/>
    <numFmt numFmtId="60" formatCode="&quot; &quot;###0.#"/>
  </numFmts>
  <fonts count="13">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5"/>
      <color indexed="8"/>
      <name val="Calibri"/>
    </font>
    <font>
      <b val="1"/>
      <sz val="14"/>
      <color indexed="8"/>
      <name val="Calibri"/>
    </font>
    <font>
      <sz val="9"/>
      <color indexed="13"/>
      <name val="Calibri"/>
    </font>
    <font>
      <b val="1"/>
      <sz val="10"/>
      <color indexed="8"/>
      <name val="Calibri"/>
    </font>
    <font>
      <b val="1"/>
      <sz val="10"/>
      <color indexed="17"/>
      <name val="Calibri"/>
    </font>
    <font>
      <b val="1"/>
      <sz val="10"/>
      <color indexed="15"/>
      <name val="Calibri"/>
    </font>
    <font>
      <sz val="12"/>
      <color indexed="19"/>
      <name val="Helvetica"/>
    </font>
    <font>
      <b val="1"/>
      <sz val="12"/>
      <color indexed="8"/>
      <name val="Calibri"/>
    </font>
  </fonts>
  <fills count="9">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5"/>
        <bgColor auto="1"/>
      </patternFill>
    </fill>
    <fill>
      <patternFill patternType="solid">
        <fgColor indexed="16"/>
        <bgColor auto="1"/>
      </patternFill>
    </fill>
    <fill>
      <patternFill patternType="solid">
        <fgColor indexed="18"/>
        <bgColor auto="1"/>
      </patternFill>
    </fill>
    <fill>
      <patternFill patternType="solid">
        <fgColor indexed="20"/>
        <bgColor auto="1"/>
      </patternFill>
    </fill>
    <fill>
      <patternFill patternType="solid">
        <fgColor indexed="21"/>
        <bgColor auto="1"/>
      </patternFill>
    </fill>
  </fills>
  <borders count="14">
    <border>
      <left/>
      <right/>
      <top/>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4"/>
      </bottom>
      <diagonal/>
    </border>
    <border>
      <left style="thin">
        <color indexed="12"/>
      </left>
      <right style="thin">
        <color indexed="14"/>
      </right>
      <top style="thin">
        <color indexed="12"/>
      </top>
      <bottom style="thin">
        <color indexed="12"/>
      </bottom>
      <diagonal/>
    </border>
    <border>
      <left style="thin">
        <color indexed="14"/>
      </left>
      <right style="thin">
        <color indexed="14"/>
      </right>
      <top style="thin">
        <color indexed="14"/>
      </top>
      <bottom style="thin">
        <color indexed="14"/>
      </bottom>
      <diagonal/>
    </border>
    <border>
      <left style="thin">
        <color indexed="14"/>
      </left>
      <right style="thin">
        <color indexed="12"/>
      </right>
      <top style="thin">
        <color indexed="12"/>
      </top>
      <bottom style="thin">
        <color indexed="12"/>
      </bottom>
      <diagonal/>
    </border>
    <border>
      <left style="thin">
        <color indexed="12"/>
      </left>
      <right style="thin">
        <color indexed="12"/>
      </right>
      <top style="thin">
        <color indexed="14"/>
      </top>
      <bottom style="thin">
        <color indexed="12"/>
      </bottom>
      <diagonal/>
    </border>
    <border>
      <left style="thin">
        <color indexed="12"/>
      </left>
      <right style="thin">
        <color indexed="12"/>
      </right>
      <top style="thin">
        <color indexed="12"/>
      </top>
      <bottom/>
      <diagonal/>
    </border>
    <border>
      <left style="thin">
        <color indexed="12"/>
      </left>
      <right style="thin">
        <color indexed="12"/>
      </right>
      <top style="thin">
        <color indexed="14"/>
      </top>
      <bottom/>
      <diagonal/>
    </border>
    <border>
      <left style="thin">
        <color indexed="12"/>
      </left>
      <right/>
      <top/>
      <bottom style="thin">
        <color indexed="14"/>
      </bottom>
      <diagonal/>
    </border>
    <border>
      <left/>
      <right/>
      <top/>
      <bottom style="thin">
        <color indexed="14"/>
      </bottom>
      <diagonal/>
    </border>
    <border>
      <left/>
      <right style="thin">
        <color indexed="12"/>
      </right>
      <top style="thin">
        <color indexed="12"/>
      </top>
      <bottom style="thin">
        <color indexed="12"/>
      </bottom>
      <diagonal/>
    </border>
    <border>
      <left style="thin">
        <color indexed="12"/>
      </left>
      <right style="thin">
        <color indexed="14"/>
      </right>
      <top style="thin">
        <color indexed="14"/>
      </top>
      <bottom style="thin">
        <color indexed="12"/>
      </bottom>
      <diagonal/>
    </border>
    <border>
      <left style="thin">
        <color indexed="12"/>
      </left>
      <right style="thin">
        <color indexed="14"/>
      </right>
      <top style="thin">
        <color indexed="12"/>
      </top>
      <bottom style="thin">
        <color indexed="14"/>
      </bottom>
      <diagonal/>
    </border>
  </borders>
  <cellStyleXfs count="1">
    <xf numFmtId="0" fontId="0" applyNumberFormat="0" applyFont="1" applyFill="0" applyBorder="0" applyAlignment="1" applyProtection="0">
      <alignment vertical="bottom"/>
    </xf>
  </cellStyleXfs>
  <cellXfs count="47">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6" borderId="1" applyNumberFormat="1" applyFont="1" applyFill="0" applyBorder="1" applyAlignment="1" applyProtection="0">
      <alignment vertical="bottom"/>
    </xf>
    <xf numFmtId="0" fontId="0" borderId="1" applyNumberFormat="0" applyFont="1" applyFill="0" applyBorder="1" applyAlignment="1" applyProtection="0">
      <alignment vertical="bottom"/>
    </xf>
    <xf numFmtId="49" fontId="7" borderId="1" applyNumberFormat="1" applyFont="1" applyFill="0" applyBorder="1" applyAlignment="1" applyProtection="0">
      <alignment vertical="bottom"/>
    </xf>
    <xf numFmtId="0" fontId="0" borderId="2" applyNumberFormat="0" applyFont="1" applyFill="0" applyBorder="1" applyAlignment="1" applyProtection="0">
      <alignment vertical="bottom"/>
    </xf>
    <xf numFmtId="49" fontId="8" fillId="4" borderId="1" applyNumberFormat="1" applyFont="1" applyFill="1" applyBorder="1" applyAlignment="1" applyProtection="0">
      <alignment horizontal="left" vertical="center"/>
    </xf>
    <xf numFmtId="0" fontId="0" borderId="3" applyNumberFormat="0" applyFont="1" applyFill="0" applyBorder="1" applyAlignment="1" applyProtection="0">
      <alignment vertical="bottom"/>
    </xf>
    <xf numFmtId="59" fontId="0" fillId="5" borderId="4" applyNumberFormat="1" applyFont="1" applyFill="1" applyBorder="1" applyAlignment="1" applyProtection="0">
      <alignment vertical="bottom"/>
    </xf>
    <xf numFmtId="0" fontId="0" borderId="5" applyNumberFormat="0" applyFont="1" applyFill="0" applyBorder="1" applyAlignment="1" applyProtection="0">
      <alignment vertical="bottom"/>
    </xf>
    <xf numFmtId="60" fontId="0" borderId="1" applyNumberFormat="1" applyFont="1" applyFill="0" applyBorder="1" applyAlignment="1" applyProtection="0">
      <alignment vertical="bottom"/>
    </xf>
    <xf numFmtId="60" fontId="0" fillId="5" borderId="4" applyNumberFormat="1" applyFont="1" applyFill="1" applyBorder="1" applyAlignment="1" applyProtection="0">
      <alignment vertical="bottom"/>
    </xf>
    <xf numFmtId="0" fontId="0" borderId="6" applyNumberFormat="0" applyFont="1" applyFill="0" applyBorder="1" applyAlignment="1" applyProtection="0">
      <alignment vertical="bottom"/>
    </xf>
    <xf numFmtId="0" fontId="9" borderId="7" applyNumberFormat="0" applyFont="1" applyFill="0" applyBorder="1" applyAlignment="1" applyProtection="0">
      <alignment vertical="bottom"/>
    </xf>
    <xf numFmtId="0" fontId="0" borderId="7" applyNumberFormat="0" applyFont="1" applyFill="0" applyBorder="1" applyAlignment="1" applyProtection="0">
      <alignment vertical="bottom"/>
    </xf>
    <xf numFmtId="0" fontId="0" borderId="8" applyNumberFormat="0" applyFont="1" applyFill="0" applyBorder="1" applyAlignment="1" applyProtection="0">
      <alignment vertical="bottom"/>
    </xf>
    <xf numFmtId="49" fontId="10" fillId="6" borderId="9" applyNumberFormat="1" applyFont="1" applyFill="1" applyBorder="1" applyAlignment="1" applyProtection="0">
      <alignment horizontal="center" vertical="center" wrapText="1"/>
    </xf>
    <xf numFmtId="49" fontId="10" fillId="6" borderId="10" applyNumberFormat="1" applyFont="1" applyFill="1" applyBorder="1" applyAlignment="1" applyProtection="0">
      <alignment horizontal="center" vertical="center" wrapText="1"/>
    </xf>
    <xf numFmtId="0" fontId="0" borderId="11" applyNumberFormat="0" applyFont="1" applyFill="0" applyBorder="1" applyAlignment="1" applyProtection="0">
      <alignment vertical="bottom"/>
    </xf>
    <xf numFmtId="0" fontId="11" fillId="4" borderId="6" applyNumberFormat="1" applyFont="1" applyFill="1" applyBorder="1" applyAlignment="1" applyProtection="0">
      <alignment vertical="center"/>
    </xf>
    <xf numFmtId="49" fontId="11" fillId="4" borderId="6" applyNumberFormat="1" applyFont="1" applyFill="1" applyBorder="1" applyAlignment="1" applyProtection="0">
      <alignment horizontal="center" vertical="center"/>
    </xf>
    <xf numFmtId="49" fontId="11" fillId="4" borderId="12" applyNumberFormat="1" applyFont="1" applyFill="1" applyBorder="1" applyAlignment="1" applyProtection="0">
      <alignment horizontal="center" vertical="center"/>
    </xf>
    <xf numFmtId="60" fontId="0" borderId="4" applyNumberFormat="1" applyFont="1" applyFill="0" applyBorder="1" applyAlignment="1" applyProtection="0">
      <alignment vertical="bottom"/>
    </xf>
    <xf numFmtId="59" fontId="0" borderId="4" applyNumberFormat="1" applyFont="1" applyFill="0" applyBorder="1" applyAlignment="1" applyProtection="0">
      <alignment vertical="bottom"/>
    </xf>
    <xf numFmtId="0" fontId="0" borderId="4" applyNumberFormat="1" applyFont="1" applyFill="0" applyBorder="1" applyAlignment="1" applyProtection="0">
      <alignment vertical="bottom"/>
    </xf>
    <xf numFmtId="0" fontId="0" borderId="4" applyNumberFormat="0" applyFont="1" applyFill="0" applyBorder="1" applyAlignment="1" applyProtection="0">
      <alignment vertical="bottom"/>
    </xf>
    <xf numFmtId="0" fontId="11" fillId="7" borderId="1" applyNumberFormat="1" applyFont="1" applyFill="1" applyBorder="1" applyAlignment="1" applyProtection="0">
      <alignment vertical="center"/>
    </xf>
    <xf numFmtId="49" fontId="11" fillId="7" borderId="1" applyNumberFormat="1" applyFont="1" applyFill="1" applyBorder="1" applyAlignment="1" applyProtection="0">
      <alignment horizontal="center" vertical="center"/>
    </xf>
    <xf numFmtId="49" fontId="11" fillId="7" borderId="3" applyNumberFormat="1" applyFont="1" applyFill="1" applyBorder="1" applyAlignment="1" applyProtection="0">
      <alignment horizontal="center" vertical="center"/>
    </xf>
    <xf numFmtId="0" fontId="11" fillId="4" borderId="1" applyNumberFormat="1" applyFont="1" applyFill="1" applyBorder="1" applyAlignment="1" applyProtection="0">
      <alignment vertical="center"/>
    </xf>
    <xf numFmtId="49" fontId="11" fillId="4" borderId="1" applyNumberFormat="1" applyFont="1" applyFill="1" applyBorder="1" applyAlignment="1" applyProtection="0">
      <alignment horizontal="center" vertical="center"/>
    </xf>
    <xf numFmtId="49" fontId="11" fillId="4" borderId="3" applyNumberFormat="1" applyFont="1" applyFill="1" applyBorder="1" applyAlignment="1" applyProtection="0">
      <alignment horizontal="center" vertical="center"/>
    </xf>
    <xf numFmtId="0" fontId="0" fillId="7" borderId="2" applyNumberFormat="0" applyFont="1" applyFill="1" applyBorder="1" applyAlignment="1" applyProtection="0">
      <alignment vertical="center"/>
    </xf>
    <xf numFmtId="0" fontId="0" borderId="13" applyNumberFormat="0" applyFont="1" applyFill="0" applyBorder="1" applyAlignment="1" applyProtection="0">
      <alignment vertical="bottom"/>
    </xf>
    <xf numFmtId="0" fontId="0" fillId="8" borderId="4" applyNumberFormat="0" applyFont="1" applyFill="1" applyBorder="1" applyAlignment="1" applyProtection="0">
      <alignment vertical="bottom"/>
    </xf>
    <xf numFmtId="0" fontId="0" applyNumberFormat="1" applyFont="1" applyFill="0" applyBorder="0" applyAlignment="1" applyProtection="0">
      <alignment vertical="bottom"/>
    </xf>
    <xf numFmtId="0" fontId="11" fillId="4" borderId="2" applyNumberFormat="1" applyFont="1" applyFill="1" applyBorder="1" applyAlignment="1" applyProtection="0">
      <alignment vertical="center"/>
    </xf>
    <xf numFmtId="49" fontId="11" fillId="4" borderId="2" applyNumberFormat="1" applyFont="1" applyFill="1" applyBorder="1" applyAlignment="1" applyProtection="0">
      <alignment horizontal="center" vertical="center"/>
    </xf>
    <xf numFmtId="49" fontId="11" fillId="4" borderId="13" applyNumberFormat="1" applyFont="1" applyFill="1" applyBorder="1" applyAlignment="1" applyProtection="0">
      <alignment horizontal="center" vertical="center"/>
    </xf>
    <xf numFmtId="0" fontId="0" applyNumberFormat="1" applyFont="1" applyFill="0" applyBorder="0" applyAlignment="1" applyProtection="0">
      <alignment vertical="bottom"/>
    </xf>
    <xf numFmtId="49" fontId="12" borderId="1" applyNumberFormat="1" applyFont="1" applyFill="0" applyBorder="1" applyAlignment="1" applyProtection="0">
      <alignment vertical="bottom"/>
    </xf>
    <xf numFmtId="49" fontId="0" borderId="1" applyNumberFormat="1" applyFont="1" applyFill="0"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aaaaaa"/>
      <rgbColor rgb="ff808080"/>
      <rgbColor rgb="ffbfbfbf"/>
      <rgbColor rgb="ffffffff"/>
      <rgbColor rgb="ffe2efda"/>
      <rgbColor rgb="ffc00000"/>
      <rgbColor rgb="ff1f3864"/>
      <rgbColor rgb="ff55595c"/>
      <rgbColor rgb="fff8f9fa"/>
      <rgbColor rgb="fffff2cc"/>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104</v>
      </c>
      <c r="C11" s="3"/>
      <c r="D11" s="3"/>
    </row>
    <row r="12">
      <c r="B12" s="4"/>
      <c r="C12" t="s" s="4">
        <v>5</v>
      </c>
      <c r="D12" t="s" s="5">
        <v>104</v>
      </c>
    </row>
    <row r="13">
      <c r="B13" t="s" s="3">
        <v>118</v>
      </c>
      <c r="C13" s="3"/>
      <c r="D13" s="3"/>
    </row>
    <row r="14">
      <c r="B14" s="4"/>
      <c r="C14" t="s" s="4">
        <v>5</v>
      </c>
      <c r="D14" t="s" s="5">
        <v>118</v>
      </c>
    </row>
  </sheetData>
  <mergeCells count="1">
    <mergeCell ref="B3:D3"/>
  </mergeCells>
  <hyperlinks>
    <hyperlink ref="D10" location="'Мужчины'!R1C1" tooltip="" display="Мужчины"/>
    <hyperlink ref="D12" location="'Женщины'!R1C1" tooltip="" display="Женщины"/>
    <hyperlink ref="D14" location="'Инструкция'!R1C1" tooltip="" display="Инструкция"/>
  </hyperlinks>
</worksheet>
</file>

<file path=xl/worksheets/sheet2.xml><?xml version="1.0" encoding="utf-8"?>
<worksheet xmlns:r="http://schemas.openxmlformats.org/officeDocument/2006/relationships" xmlns="http://schemas.openxmlformats.org/spreadsheetml/2006/main">
  <dimension ref="A1:V211"/>
  <sheetViews>
    <sheetView workbookViewId="0" showGridLines="0" defaultGridColor="1"/>
  </sheetViews>
  <sheetFormatPr defaultColWidth="8.83333" defaultRowHeight="15" customHeight="1" outlineLevelRow="0" outlineLevelCol="0"/>
  <cols>
    <col min="1" max="1" width="7" style="6" customWidth="1"/>
    <col min="2" max="2" width="8" style="6" customWidth="1"/>
    <col min="3" max="3" width="30" style="6" customWidth="1"/>
    <col min="4" max="4" width="13" style="6" customWidth="1"/>
    <col min="5" max="5" width="10" style="6" customWidth="1"/>
    <col min="6" max="6" width="13" style="6" customWidth="1"/>
    <col min="7" max="7" width="15" style="6" customWidth="1"/>
    <col min="8" max="8" width="12" style="6" customWidth="1"/>
    <col min="9" max="11" width="11" style="6" customWidth="1"/>
    <col min="12" max="15" width="13" style="6" customWidth="1"/>
    <col min="16" max="16" width="14" style="6" customWidth="1"/>
    <col min="17" max="17" width="13" style="6" customWidth="1"/>
    <col min="18" max="18" width="14" style="6" customWidth="1"/>
    <col min="19" max="20" width="16" style="6" customWidth="1"/>
    <col min="21" max="22" width="8.85156" style="6" customWidth="1"/>
    <col min="23" max="16384" width="8.85156" style="6" customWidth="1"/>
  </cols>
  <sheetData>
    <row r="1" ht="17.9" customHeight="1">
      <c r="A1" t="s" s="7">
        <v>6</v>
      </c>
      <c r="B1" s="8"/>
      <c r="C1" s="8"/>
      <c r="D1" s="8"/>
      <c r="E1" s="8"/>
      <c r="F1" s="8"/>
      <c r="G1" s="8"/>
      <c r="H1" s="8"/>
      <c r="I1" s="8"/>
      <c r="J1" s="8"/>
      <c r="K1" s="8"/>
      <c r="L1" s="8"/>
      <c r="M1" s="8"/>
      <c r="N1" s="8"/>
      <c r="O1" s="8"/>
      <c r="P1" s="8"/>
      <c r="Q1" s="8"/>
      <c r="R1" s="8"/>
      <c r="S1" s="8"/>
      <c r="T1" s="8"/>
      <c r="U1" s="8"/>
      <c r="V1" s="8"/>
    </row>
    <row r="2" ht="13.55" customHeight="1">
      <c r="A2" t="s" s="9">
        <v>7</v>
      </c>
      <c r="B2" s="8"/>
      <c r="C2" s="8"/>
      <c r="D2" s="8"/>
      <c r="E2" s="8"/>
      <c r="F2" s="8"/>
      <c r="G2" s="8"/>
      <c r="H2" s="8"/>
      <c r="I2" s="8"/>
      <c r="J2" s="8"/>
      <c r="K2" s="8"/>
      <c r="L2" s="8"/>
      <c r="M2" s="8"/>
      <c r="N2" s="8"/>
      <c r="O2" s="8"/>
      <c r="P2" s="8"/>
      <c r="Q2" s="8"/>
      <c r="R2" s="8"/>
      <c r="S2" s="8"/>
      <c r="T2" s="8"/>
      <c r="U2" s="8"/>
      <c r="V2" s="8"/>
    </row>
    <row r="3" ht="13.55" customHeight="1">
      <c r="A3" s="8"/>
      <c r="B3" s="8"/>
      <c r="C3" s="8"/>
      <c r="D3" s="10"/>
      <c r="E3" s="8"/>
      <c r="F3" s="8"/>
      <c r="G3" s="8"/>
      <c r="H3" s="8"/>
      <c r="I3" s="10"/>
      <c r="J3" s="8"/>
      <c r="K3" s="8"/>
      <c r="L3" s="8"/>
      <c r="M3" s="8"/>
      <c r="N3" s="8"/>
      <c r="O3" s="8"/>
      <c r="P3" s="8"/>
      <c r="Q3" s="8"/>
      <c r="R3" s="8"/>
      <c r="S3" s="8"/>
      <c r="T3" s="8"/>
      <c r="U3" s="8"/>
      <c r="V3" s="8"/>
    </row>
    <row r="4" ht="13.75" customHeight="1">
      <c r="A4" t="s" s="11">
        <v>8</v>
      </c>
      <c r="B4" s="8"/>
      <c r="C4" s="12"/>
      <c r="D4" s="13">
        <v>1000</v>
      </c>
      <c r="E4" s="14"/>
      <c r="F4" t="s" s="11">
        <v>9</v>
      </c>
      <c r="G4" s="8"/>
      <c r="H4" s="12"/>
      <c r="I4" s="13" cm="1">
        <f t="array" ref="I4">SUM($H$11:$H$210)</f>
        <v>21000</v>
      </c>
      <c r="J4" s="14"/>
      <c r="K4" s="8"/>
      <c r="L4" s="8"/>
      <c r="M4" s="8"/>
      <c r="N4" s="8"/>
      <c r="O4" s="8"/>
      <c r="P4" s="8"/>
      <c r="Q4" s="8"/>
      <c r="R4" s="8"/>
      <c r="S4" s="8"/>
      <c r="T4" s="8"/>
      <c r="U4" t="s" s="9">
        <v>10</v>
      </c>
      <c r="V4" s="15" cm="1">
        <f t="array" ref="V4">SUMIF($Q$11:$Q$210,1,$P$11:$P$210)</f>
        <v>2523.133333333330</v>
      </c>
    </row>
    <row r="5" ht="13.75" customHeight="1">
      <c r="A5" t="s" s="11">
        <v>11</v>
      </c>
      <c r="B5" s="8"/>
      <c r="C5" s="12"/>
      <c r="D5" s="13" cm="1">
        <f t="array" ref="D5">COUNTA($C$11:$C$210)</f>
        <v>21</v>
      </c>
      <c r="E5" s="14"/>
      <c r="F5" t="s" s="11">
        <v>12</v>
      </c>
      <c r="G5" s="8"/>
      <c r="H5" s="12"/>
      <c r="I5" s="13" cm="1">
        <f t="array" ref="I5">$D$6-$I$4</f>
        <v>0</v>
      </c>
      <c r="J5" s="14"/>
      <c r="K5" s="8"/>
      <c r="L5" s="8"/>
      <c r="M5" s="8"/>
      <c r="N5" s="8"/>
      <c r="O5" s="8"/>
      <c r="P5" s="8"/>
      <c r="Q5" s="8"/>
      <c r="R5" s="8"/>
      <c r="S5" s="8"/>
      <c r="T5" s="8"/>
      <c r="U5" t="s" s="9">
        <v>13</v>
      </c>
      <c r="V5" s="15" cm="1">
        <f t="array" ref="V5">SUM($T$11:$T$210)</f>
        <v>21000</v>
      </c>
    </row>
    <row r="6" ht="13.75" customHeight="1">
      <c r="A6" t="s" s="11">
        <v>14</v>
      </c>
      <c r="B6" s="8"/>
      <c r="C6" s="12"/>
      <c r="D6" s="13" cm="1">
        <f t="array" ref="D6">$D$4*$D$5</f>
        <v>21000</v>
      </c>
      <c r="E6" s="14"/>
      <c r="F6" t="s" s="11">
        <v>15</v>
      </c>
      <c r="G6" s="8"/>
      <c r="H6" s="12"/>
      <c r="I6" s="13" cm="1">
        <f t="array" ref="I6">COUNTIF($H$11:$H$210,"&gt;0")</f>
        <v>3</v>
      </c>
      <c r="J6" s="14"/>
      <c r="K6" s="8"/>
      <c r="L6" s="8"/>
      <c r="M6" s="8"/>
      <c r="N6" s="8"/>
      <c r="O6" s="8"/>
      <c r="P6" s="8"/>
      <c r="Q6" s="8"/>
      <c r="R6" s="8"/>
      <c r="S6" s="8"/>
      <c r="T6" s="8"/>
      <c r="U6" t="s" s="9">
        <v>16</v>
      </c>
      <c r="V6" s="15" cm="1">
        <f t="array" ref="V6">$D$6-$V$5</f>
        <v>0</v>
      </c>
    </row>
    <row r="7" ht="13.75" customHeight="1">
      <c r="A7" t="s" s="11">
        <v>17</v>
      </c>
      <c r="B7" s="8"/>
      <c r="C7" s="12"/>
      <c r="D7" s="13">
        <v>100</v>
      </c>
      <c r="E7" s="14"/>
      <c r="F7" t="s" s="11">
        <v>18</v>
      </c>
      <c r="G7" s="8"/>
      <c r="H7" s="12"/>
      <c r="I7" s="16">
        <v>2524.5</v>
      </c>
      <c r="J7" s="14"/>
      <c r="K7" s="8"/>
      <c r="L7" s="8"/>
      <c r="M7" s="8"/>
      <c r="N7" s="8"/>
      <c r="O7" s="8"/>
      <c r="P7" s="8"/>
      <c r="Q7" s="8"/>
      <c r="R7" s="8"/>
      <c r="S7" s="8"/>
      <c r="T7" s="8"/>
      <c r="U7" t="s" s="9">
        <v>19</v>
      </c>
      <c r="V7" s="15" cm="1">
        <f t="array" ref="V7">COUNTIF($T$11:$T$210,"&gt;0")</f>
        <v>3</v>
      </c>
    </row>
    <row r="8" ht="13.75" customHeight="1">
      <c r="A8" t="s" s="11">
        <v>20</v>
      </c>
      <c r="B8" s="8"/>
      <c r="C8" s="12"/>
      <c r="D8" s="13">
        <v>1000</v>
      </c>
      <c r="E8" s="14"/>
      <c r="F8" s="8"/>
      <c r="G8" s="8"/>
      <c r="H8" s="8"/>
      <c r="I8" s="17"/>
      <c r="J8" s="8"/>
      <c r="K8" s="8"/>
      <c r="L8" s="8"/>
      <c r="M8" s="8"/>
      <c r="N8" s="8"/>
      <c r="O8" s="8"/>
      <c r="P8" s="8"/>
      <c r="Q8" s="8"/>
      <c r="R8" s="8"/>
      <c r="S8" s="8"/>
      <c r="T8" s="8"/>
      <c r="U8" s="8"/>
      <c r="V8" s="8"/>
    </row>
    <row r="9" ht="13.75" customHeight="1">
      <c r="A9" t="str" s="18"/>
      <c r="B9" s="19"/>
      <c r="C9" s="19"/>
      <c r="D9" s="20"/>
      <c r="E9" s="19"/>
      <c r="F9" s="19"/>
      <c r="G9" s="19"/>
      <c r="H9" s="19"/>
      <c r="I9" s="19"/>
      <c r="J9" s="19"/>
      <c r="K9" s="19"/>
      <c r="L9" s="19"/>
      <c r="M9" s="19"/>
      <c r="N9" s="19"/>
      <c r="O9" s="19"/>
      <c r="P9" s="19"/>
      <c r="Q9" s="19"/>
      <c r="R9" s="19"/>
      <c r="S9" s="19"/>
      <c r="T9" s="19"/>
      <c r="U9" s="8"/>
      <c r="V9" s="8"/>
    </row>
    <row r="10" ht="32" customHeight="1">
      <c r="A10" t="s" s="21">
        <v>21</v>
      </c>
      <c r="B10" t="s" s="22">
        <v>22</v>
      </c>
      <c r="C10" t="s" s="22">
        <v>23</v>
      </c>
      <c r="D10" t="s" s="22">
        <v>24</v>
      </c>
      <c r="E10" t="s" s="22">
        <v>25</v>
      </c>
      <c r="F10" t="s" s="22">
        <v>26</v>
      </c>
      <c r="G10" t="s" s="22">
        <v>27</v>
      </c>
      <c r="H10" t="s" s="22">
        <v>28</v>
      </c>
      <c r="I10" t="s" s="22">
        <v>29</v>
      </c>
      <c r="J10" t="s" s="22">
        <v>30</v>
      </c>
      <c r="K10" t="s" s="22">
        <v>31</v>
      </c>
      <c r="L10" t="s" s="22">
        <v>32</v>
      </c>
      <c r="M10" t="s" s="22">
        <v>33</v>
      </c>
      <c r="N10" t="s" s="22">
        <v>34</v>
      </c>
      <c r="O10" t="s" s="22">
        <v>35</v>
      </c>
      <c r="P10" t="s" s="22">
        <v>36</v>
      </c>
      <c r="Q10" t="s" s="22">
        <v>37</v>
      </c>
      <c r="R10" t="s" s="22">
        <v>38</v>
      </c>
      <c r="S10" t="s" s="22">
        <v>39</v>
      </c>
      <c r="T10" t="s" s="22">
        <v>40</v>
      </c>
      <c r="U10" s="23"/>
      <c r="V10" s="8"/>
    </row>
    <row r="11" ht="17" customHeight="1">
      <c r="A11" s="24">
        <v>1</v>
      </c>
      <c r="B11" s="24">
        <v>3</v>
      </c>
      <c r="C11" t="s" s="25">
        <v>41</v>
      </c>
      <c r="D11" t="s" s="26">
        <v>42</v>
      </c>
      <c r="E11" s="27" cm="1">
        <f t="array" ref="E11">IF($D11="","",_xlfn.IFERROR(IF($I11=-1,IF($D11&lt;0.5,$D11*86400,IF($D11&lt;100,$D11*1440,$D11)),IF($I11=2,VALUE(LEFT($D11,$J11-1))*3600+VALUE(MID($D11,$J11+1,$K11-$J11-1))*60,IF($I11=1,VALUE(LEFT($D11,$J11-1))*60,0))+IF($M11=0,VALUE($L11),VALUE(LEFT($L11,$M11-1))+VALUE(MID($L11,$M11+1,10))/10^(LEN($L11)-$M11))),""))</f>
        <v>2411.5</v>
      </c>
      <c r="F11" s="27" cm="1">
        <f t="array" ref="F11">IF($E11="","",MAX(0,$I$7-$E11))</f>
        <v>113</v>
      </c>
      <c r="G11" s="28" cm="1">
        <f t="array" ref="G11">IF($E11="","",$F11*$D$7)</f>
        <v>11300</v>
      </c>
      <c r="H11" s="28" cm="1">
        <f t="array" ref="H11">IF($E11="","",$T11+IF(AND($V$6&gt;=$D$8,COUNT($E$11:$E11)=$V$7+1),$D$8,0))</f>
        <v>11000</v>
      </c>
      <c r="I11" s="29" cm="1">
        <f t="array" ref="I11">IF($D11="","",IF(ISTEXT($D11),LEN($D11)-LEN(SUBSTITUTE($D11,":","")),-1))</f>
        <v>2</v>
      </c>
      <c r="J11" s="29" cm="1">
        <f t="array" ref="J11">_xlfn.IFERROR(FIND(":",$D11),0)</f>
        <v>3</v>
      </c>
      <c r="K11" s="29" cm="1">
        <f t="array" ref="K11">_xlfn.IFERROR(FIND(":",$D11,$J11+1),0)</f>
        <v>6</v>
      </c>
      <c r="L11" t="str" s="30" cm="1">
        <f t="array" ref="L11">IF($D11="","",IF($I11=2,MID($D11,$K11+1,10),IF($I11=1,MID($D11,$J11+1,10),IF($I11=0,$D11,""))))</f>
        <v>11.5</v>
      </c>
      <c r="M11" s="29" cm="1">
        <f t="array" ref="M11">IF($L11="",0,_xlfn.IFERROR(FIND(".",SUBSTITUTE($L11,",",".")),0))</f>
        <v>3</v>
      </c>
      <c r="N11" s="27" cm="1">
        <f t="array" ref="N11">IF($E11="",10^9,$E11)</f>
        <v>2411.5</v>
      </c>
      <c r="O11" s="27" cm="1">
        <f t="array" ref="O11">IF($E11="","",SUM($E$11:$E11))</f>
        <v>2411.5</v>
      </c>
      <c r="P11" s="27" cm="1">
        <f t="array" ref="P11">IF($E11="","",($D$6/$D$7+$O11)/COUNT($E$11:$E11))</f>
        <v>2621.5</v>
      </c>
      <c r="Q11" s="29" cm="1">
        <f t="array" ref="Q11">IF($E11="",0,IF(AND($E11&lt;$P11,OR($E12="",$P11&lt;=$E12)),1,0))</f>
        <v>0</v>
      </c>
      <c r="R11" s="27" cm="1">
        <f t="array" ref="R11">IF($V$4=0,"",ROUND($V$4,1)-10+(11-11)*0.1)</f>
        <v>2513.1</v>
      </c>
      <c r="S11" s="28">
        <v>17000</v>
      </c>
      <c r="T11" s="28" cm="1">
        <f t="array" ref="T11">IF($E11="","",ROUND($G11/$D$8,0)*$D$8)</f>
        <v>11000</v>
      </c>
      <c r="U11" s="14"/>
      <c r="V11" s="8"/>
    </row>
    <row r="12" ht="17" customHeight="1">
      <c r="A12" s="31">
        <v>2</v>
      </c>
      <c r="B12" s="31">
        <v>18</v>
      </c>
      <c r="C12" t="s" s="32">
        <v>44</v>
      </c>
      <c r="D12" t="s" s="33">
        <v>45</v>
      </c>
      <c r="E12" s="27" cm="1">
        <f t="array" ref="E12">IF($D12="","",_xlfn.IFERROR(IF($I12=-1,IF($D12&lt;0.5,$D12*86400,IF($D12&lt;100,$D12*1440,$D12)),IF($I12=2,VALUE(LEFT($D12,$J12-1))*3600+VALUE(MID($D12,$J12+1,$K12-$J12-1))*60,IF($I12=1,VALUE(LEFT($D12,$J12-1))*60,0))+IF($M12=0,VALUE($L12),VALUE(LEFT($L12,$M12-1))+VALUE(MID($L12,$M12+1,10))/10^(LEN($L12)-$M12))),""))</f>
        <v>2458.3</v>
      </c>
      <c r="F12" s="27" cm="1">
        <f t="array" ref="F12">IF($E12="","",MAX(0,$I$7-$E12))</f>
        <v>66.2</v>
      </c>
      <c r="G12" s="28" cm="1">
        <f t="array" ref="G12">IF($E12="","",$F12*$D$7)</f>
        <v>6620</v>
      </c>
      <c r="H12" s="28" cm="1">
        <f t="array" ref="H12">IF($E12="","",$T12+IF(AND($V$6&gt;=$D$8,COUNT($E$11:$E12)=$V$7+1),$D$8,0))</f>
        <v>7000</v>
      </c>
      <c r="I12" s="29" cm="1">
        <f t="array" ref="I12">IF($D12="","",IF(ISTEXT($D12),LEN($D12)-LEN(SUBSTITUTE($D12,":","")),-1))</f>
        <v>2</v>
      </c>
      <c r="J12" s="29" cm="1">
        <f t="array" ref="J12">_xlfn.IFERROR(FIND(":",$D12),0)</f>
        <v>3</v>
      </c>
      <c r="K12" s="29" cm="1">
        <f t="array" ref="K12">_xlfn.IFERROR(FIND(":",$D12,$J12+1),0)</f>
        <v>6</v>
      </c>
      <c r="L12" t="str" s="30" cm="1">
        <f t="array" ref="L12">IF($D12="","",IF($I12=2,MID($D12,$K12+1,10),IF($I12=1,MID($D12,$J12+1,10),IF($I12=0,$D12,""))))</f>
        <v>58.3</v>
      </c>
      <c r="M12" s="29" cm="1">
        <f t="array" ref="M12">IF($L12="",0,_xlfn.IFERROR(FIND(".",SUBSTITUTE($L12,",",".")),0))</f>
        <v>3</v>
      </c>
      <c r="N12" s="27" cm="1">
        <f t="array" ref="N12">IF($E12="",10^9,$E12)</f>
        <v>2458.3</v>
      </c>
      <c r="O12" s="27" cm="1">
        <f t="array" ref="O12">IF($E12="","",SUM($E$11:$E12))</f>
        <v>4869.8</v>
      </c>
      <c r="P12" s="27" cm="1">
        <f t="array" ref="P12">IF($E12="","",($D$6/$D$7+$O12)/COUNT($E$11:$E12))</f>
        <v>2539.9</v>
      </c>
      <c r="Q12" s="29" cm="1">
        <f t="array" ref="Q12">IF($E12="",0,IF(AND($E12&lt;$P12,OR($E13="",$P12&lt;=$E13)),1,0))</f>
        <v>0</v>
      </c>
      <c r="R12" s="27" cm="1">
        <f t="array" ref="R12">IF($V$4=0,"",ROUND($V$4,1)-10+(12-11)*0.1)</f>
        <v>2513.2</v>
      </c>
      <c r="S12" s="28">
        <v>17000</v>
      </c>
      <c r="T12" s="28" cm="1">
        <f t="array" ref="T12">IF($E12="","",ROUND($G12/$D$8,0)*$D$8)</f>
        <v>7000</v>
      </c>
      <c r="U12" s="14"/>
      <c r="V12" s="8"/>
    </row>
    <row r="13" ht="17" customHeight="1">
      <c r="A13" s="34">
        <v>3</v>
      </c>
      <c r="B13" s="34">
        <v>19</v>
      </c>
      <c r="C13" t="s" s="35">
        <v>47</v>
      </c>
      <c r="D13" t="s" s="36">
        <v>48</v>
      </c>
      <c r="E13" s="27" cm="1">
        <f t="array" ref="E13">IF($D13="","",_xlfn.IFERROR(IF($I13=-1,IF($D13&lt;0.5,$D13*86400,IF($D13&lt;100,$D13*1440,$D13)),IF($I13=2,VALUE(LEFT($D13,$J13-1))*3600+VALUE(MID($D13,$J13+1,$K13-$J13-1))*60,IF($I13=1,VALUE(LEFT($D13,$J13-1))*60,0))+IF($M13=0,VALUE($L13),VALUE(LEFT($L13,$M13-1))+VALUE(MID($L13,$M13+1,10))/10^(LEN($L13)-$M13))),""))</f>
        <v>2489.6</v>
      </c>
      <c r="F13" s="27" cm="1">
        <f t="array" ref="F13">IF($E13="","",MAX(0,$I$7-$E13))</f>
        <v>34.9</v>
      </c>
      <c r="G13" s="28" cm="1">
        <f t="array" ref="G13">IF($E13="","",$F13*$D$7)</f>
        <v>3490</v>
      </c>
      <c r="H13" s="28" cm="1">
        <f t="array" ref="H13">IF($E13="","",$T13+IF(AND($V$6&gt;=$D$8,COUNT($E$11:$E13)=$V$7+1),$D$8,0))</f>
        <v>3000</v>
      </c>
      <c r="I13" s="29" cm="1">
        <f t="array" ref="I13">IF($D13="","",IF(ISTEXT($D13),LEN($D13)-LEN(SUBSTITUTE($D13,":","")),-1))</f>
        <v>2</v>
      </c>
      <c r="J13" s="29" cm="1">
        <f t="array" ref="J13">_xlfn.IFERROR(FIND(":",$D13),0)</f>
        <v>3</v>
      </c>
      <c r="K13" s="29" cm="1">
        <f t="array" ref="K13">_xlfn.IFERROR(FIND(":",$D13,$J13+1),0)</f>
        <v>6</v>
      </c>
      <c r="L13" t="str" s="30" cm="1">
        <f t="array" ref="L13">IF($D13="","",IF($I13=2,MID($D13,$K13+1,10),IF($I13=1,MID($D13,$J13+1,10),IF($I13=0,$D13,""))))</f>
        <v>29.6</v>
      </c>
      <c r="M13" s="29" cm="1">
        <f t="array" ref="M13">IF($L13="",0,_xlfn.IFERROR(FIND(".",SUBSTITUTE($L13,",",".")),0))</f>
        <v>3</v>
      </c>
      <c r="N13" s="27" cm="1">
        <f t="array" ref="N13">IF($E13="",10^9,$E13)</f>
        <v>2489.6</v>
      </c>
      <c r="O13" s="27" cm="1">
        <f t="array" ref="O13">IF($E13="","",SUM($E$11:$E13))</f>
        <v>7359.4</v>
      </c>
      <c r="P13" s="27" cm="1">
        <f t="array" ref="P13">IF($E13="","",($D$6/$D$7+$O13)/COUNT($E$11:$E13))</f>
        <v>2523.133333333330</v>
      </c>
      <c r="Q13" s="29" cm="1">
        <f t="array" ref="Q13">IF($E13="",0,IF(AND($E13&lt;$P13,OR($E14="",$P13&lt;=$E14)),1,0))</f>
        <v>1</v>
      </c>
      <c r="R13" s="27" cm="1">
        <f t="array" ref="R13">IF($V$4=0,"",ROUND($V$4,1)-10+(13-11)*0.1)</f>
        <v>2513.3</v>
      </c>
      <c r="S13" s="28">
        <v>18000</v>
      </c>
      <c r="T13" s="28" cm="1">
        <f t="array" ref="T13">IF($E13="","",ROUND($G13/$D$8,0)*$D$8)</f>
        <v>3000</v>
      </c>
      <c r="U13" s="14"/>
      <c r="V13" s="8"/>
    </row>
    <row r="14" ht="17" customHeight="1">
      <c r="A14" s="31">
        <v>4</v>
      </c>
      <c r="B14" s="31">
        <v>99</v>
      </c>
      <c r="C14" t="s" s="32">
        <v>50</v>
      </c>
      <c r="D14" t="s" s="33">
        <v>51</v>
      </c>
      <c r="E14" s="27" cm="1">
        <f t="array" ref="E14">IF($D14="","",_xlfn.IFERROR(IF($I14=-1,IF($D14&lt;0.5,$D14*86400,IF($D14&lt;100,$D14*1440,$D14)),IF($I14=2,VALUE(LEFT($D14,$J14-1))*3600+VALUE(MID($D14,$J14+1,$K14-$J14-1))*60,IF($I14=1,VALUE(LEFT($D14,$J14-1))*60,0))+IF($M14=0,VALUE($L14),VALUE(LEFT($L14,$M14-1))+VALUE(MID($L14,$M14+1,10))/10^(LEN($L14)-$M14))),""))</f>
        <v>2557.7</v>
      </c>
      <c r="F14" s="27" cm="1">
        <f t="array" ref="F14">IF($E14="","",MAX(0,$I$7-$E14))</f>
        <v>0</v>
      </c>
      <c r="G14" s="28" cm="1">
        <f t="array" ref="G14">IF($E14="","",$F14*$D$7)</f>
        <v>0</v>
      </c>
      <c r="H14" s="28" cm="1">
        <f t="array" ref="H14">IF($E14="","",$T14+IF(AND($V$6&gt;=$D$8,COUNT($E$11:$E14)=$V$7+1),$D$8,0))</f>
        <v>0</v>
      </c>
      <c r="I14" s="29" cm="1">
        <f t="array" ref="I14">IF($D14="","",IF(ISTEXT($D14),LEN($D14)-LEN(SUBSTITUTE($D14,":","")),-1))</f>
        <v>2</v>
      </c>
      <c r="J14" s="29" cm="1">
        <f t="array" ref="J14">_xlfn.IFERROR(FIND(":",$D14),0)</f>
        <v>3</v>
      </c>
      <c r="K14" s="29" cm="1">
        <f t="array" ref="K14">_xlfn.IFERROR(FIND(":",$D14,$J14+1),0)</f>
        <v>6</v>
      </c>
      <c r="L14" t="str" s="30" cm="1">
        <f t="array" ref="L14">IF($D14="","",IF($I14=2,MID($D14,$K14+1,10),IF($I14=1,MID($D14,$J14+1,10),IF($I14=0,$D14,""))))</f>
        <v>37.7</v>
      </c>
      <c r="M14" s="29" cm="1">
        <f t="array" ref="M14">IF($L14="",0,_xlfn.IFERROR(FIND(".",SUBSTITUTE($L14,",",".")),0))</f>
        <v>3</v>
      </c>
      <c r="N14" s="27" cm="1">
        <f t="array" ref="N14">IF($E14="",10^9,$E14)</f>
        <v>2557.7</v>
      </c>
      <c r="O14" s="27" cm="1">
        <f t="array" ref="O14">IF($E14="","",SUM($E$11:$E14))</f>
        <v>9917.1</v>
      </c>
      <c r="P14" s="27" cm="1">
        <f t="array" ref="P14">IF($E14="","",($D$6/$D$7+$O14)/COUNT($E$11:$E14))</f>
        <v>2531.775</v>
      </c>
      <c r="Q14" s="29" cm="1">
        <f t="array" ref="Q14">IF($E14="",0,IF(AND($E14&lt;$P14,OR($E15="",$P14&lt;=$E15)),1,0))</f>
        <v>0</v>
      </c>
      <c r="R14" s="27" cm="1">
        <f t="array" ref="R14">IF($V$4=0,"",ROUND($V$4,1)-10+(14-11)*0.1)</f>
        <v>2513.4</v>
      </c>
      <c r="S14" s="28">
        <v>18000</v>
      </c>
      <c r="T14" s="28" cm="1">
        <f t="array" ref="T14">IF($E14="","",ROUND($G14/$D$8,0)*$D$8)</f>
        <v>0</v>
      </c>
      <c r="U14" s="14"/>
      <c r="V14" s="8"/>
    </row>
    <row r="15" ht="17" customHeight="1">
      <c r="A15" s="34">
        <v>5</v>
      </c>
      <c r="B15" s="34">
        <v>5</v>
      </c>
      <c r="C15" t="s" s="35">
        <v>53</v>
      </c>
      <c r="D15" t="s" s="36">
        <v>54</v>
      </c>
      <c r="E15" s="27" cm="1">
        <f t="array" ref="E15">IF($D15="","",_xlfn.IFERROR(IF($I15=-1,IF($D15&lt;0.5,$D15*86400,IF($D15&lt;100,$D15*1440,$D15)),IF($I15=2,VALUE(LEFT($D15,$J15-1))*3600+VALUE(MID($D15,$J15+1,$K15-$J15-1))*60,IF($I15=1,VALUE(LEFT($D15,$J15-1))*60,0))+IF($M15=0,VALUE($L15),VALUE(LEFT($L15,$M15-1))+VALUE(MID($L15,$M15+1,10))/10^(LEN($L15)-$M15))),""))</f>
        <v>2603.3</v>
      </c>
      <c r="F15" s="27" cm="1">
        <f t="array" ref="F15">IF($E15="","",MAX(0,$I$7-$E15))</f>
        <v>0</v>
      </c>
      <c r="G15" s="28" cm="1">
        <f t="array" ref="G15">IF($E15="","",$F15*$D$7)</f>
        <v>0</v>
      </c>
      <c r="H15" s="28" cm="1">
        <f t="array" ref="H15">IF($E15="","",$T15+IF(AND($V$6&gt;=$D$8,COUNT($E$11:$E15)=$V$7+1),$D$8,0))</f>
        <v>0</v>
      </c>
      <c r="I15" s="29" cm="1">
        <f t="array" ref="I15">IF($D15="","",IF(ISTEXT($D15),LEN($D15)-LEN(SUBSTITUTE($D15,":","")),-1))</f>
        <v>2</v>
      </c>
      <c r="J15" s="29" cm="1">
        <f t="array" ref="J15">_xlfn.IFERROR(FIND(":",$D15),0)</f>
        <v>3</v>
      </c>
      <c r="K15" s="29" cm="1">
        <f t="array" ref="K15">_xlfn.IFERROR(FIND(":",$D15,$J15+1),0)</f>
        <v>6</v>
      </c>
      <c r="L15" t="str" s="30" cm="1">
        <f t="array" ref="L15">IF($D15="","",IF($I15=2,MID($D15,$K15+1,10),IF($I15=1,MID($D15,$J15+1,10),IF($I15=0,$D15,""))))</f>
        <v>23.3</v>
      </c>
      <c r="M15" s="29" cm="1">
        <f t="array" ref="M15">IF($L15="",0,_xlfn.IFERROR(FIND(".",SUBSTITUTE($L15,",",".")),0))</f>
        <v>3</v>
      </c>
      <c r="N15" s="27" cm="1">
        <f t="array" ref="N15">IF($E15="",10^9,$E15)</f>
        <v>2603.3</v>
      </c>
      <c r="O15" s="27" cm="1">
        <f t="array" ref="O15">IF($E15="","",SUM($E$11:$E15))</f>
        <v>12520.4</v>
      </c>
      <c r="P15" s="27" cm="1">
        <f t="array" ref="P15">IF($E15="","",($D$6/$D$7+$O15)/COUNT($E$11:$E15))</f>
        <v>2546.08</v>
      </c>
      <c r="Q15" s="29" cm="1">
        <f t="array" ref="Q15">IF($E15="",0,IF(AND($E15&lt;$P15,OR($E16="",$P15&lt;=$E16)),1,0))</f>
        <v>0</v>
      </c>
      <c r="R15" s="27" cm="1">
        <f t="array" ref="R15">IF($V$4=0,"",ROUND($V$4,1)-10+(15-11)*0.1)</f>
        <v>2513.5</v>
      </c>
      <c r="S15" s="28">
        <v>18000</v>
      </c>
      <c r="T15" s="28" cm="1">
        <f t="array" ref="T15">IF($E15="","",ROUND($G15/$D$8,0)*$D$8)</f>
        <v>0</v>
      </c>
      <c r="U15" s="14"/>
      <c r="V15" s="8"/>
    </row>
    <row r="16" ht="17" customHeight="1">
      <c r="A16" s="31">
        <v>6</v>
      </c>
      <c r="B16" s="31">
        <v>21</v>
      </c>
      <c r="C16" t="s" s="32">
        <v>56</v>
      </c>
      <c r="D16" t="s" s="33">
        <v>57</v>
      </c>
      <c r="E16" s="27" cm="1">
        <f t="array" ref="E16">IF($D16="","",_xlfn.IFERROR(IF($I16=-1,IF($D16&lt;0.5,$D16*86400,IF($D16&lt;100,$D16*1440,$D16)),IF($I16=2,VALUE(LEFT($D16,$J16-1))*3600+VALUE(MID($D16,$J16+1,$K16-$J16-1))*60,IF($I16=1,VALUE(LEFT($D16,$J16-1))*60,0))+IF($M16=0,VALUE($L16),VALUE(LEFT($L16,$M16-1))+VALUE(MID($L16,$M16+1,10))/10^(LEN($L16)-$M16))),""))</f>
        <v>2686.9</v>
      </c>
      <c r="F16" s="27" cm="1">
        <f t="array" ref="F16">IF($E16="","",MAX(0,$I$7-$E16))</f>
        <v>0</v>
      </c>
      <c r="G16" s="28" cm="1">
        <f t="array" ref="G16">IF($E16="","",$F16*$D$7)</f>
        <v>0</v>
      </c>
      <c r="H16" s="28" cm="1">
        <f t="array" ref="H16">IF($E16="","",$T16+IF(AND($V$6&gt;=$D$8,COUNT($E$11:$E16)=$V$7+1),$D$8,0))</f>
        <v>0</v>
      </c>
      <c r="I16" s="29" cm="1">
        <f t="array" ref="I16">IF($D16="","",IF(ISTEXT($D16),LEN($D16)-LEN(SUBSTITUTE($D16,":","")),-1))</f>
        <v>2</v>
      </c>
      <c r="J16" s="29" cm="1">
        <f t="array" ref="J16">_xlfn.IFERROR(FIND(":",$D16),0)</f>
        <v>3</v>
      </c>
      <c r="K16" s="29" cm="1">
        <f t="array" ref="K16">_xlfn.IFERROR(FIND(":",$D16,$J16+1),0)</f>
        <v>6</v>
      </c>
      <c r="L16" t="str" s="30" cm="1">
        <f t="array" ref="L16">IF($D16="","",IF($I16=2,MID($D16,$K16+1,10),IF($I16=1,MID($D16,$J16+1,10),IF($I16=0,$D16,""))))</f>
        <v>46.9</v>
      </c>
      <c r="M16" s="29" cm="1">
        <f t="array" ref="M16">IF($L16="",0,_xlfn.IFERROR(FIND(".",SUBSTITUTE($L16,",",".")),0))</f>
        <v>3</v>
      </c>
      <c r="N16" s="27" cm="1">
        <f t="array" ref="N16">IF($E16="",10^9,$E16)</f>
        <v>2686.9</v>
      </c>
      <c r="O16" s="27" cm="1">
        <f t="array" ref="O16">IF($E16="","",SUM($E$11:$E16))</f>
        <v>15207.3</v>
      </c>
      <c r="P16" s="27" cm="1">
        <f t="array" ref="P16">IF($E16="","",($D$6/$D$7+$O16)/COUNT($E$11:$E16))</f>
        <v>2569.55</v>
      </c>
      <c r="Q16" s="29" cm="1">
        <f t="array" ref="Q16">IF($E16="",0,IF(AND($E16&lt;$P16,OR($E17="",$P16&lt;=$E17)),1,0))</f>
        <v>0</v>
      </c>
      <c r="R16" s="27" cm="1">
        <f t="array" ref="R16">IF($V$4=0,"",ROUND($V$4,1)-10+(16-11)*0.1)</f>
        <v>2513.6</v>
      </c>
      <c r="S16" s="28">
        <v>18000</v>
      </c>
      <c r="T16" s="28" cm="1">
        <f t="array" ref="T16">IF($E16="","",ROUND($G16/$D$8,0)*$D$8)</f>
        <v>0</v>
      </c>
      <c r="U16" s="14"/>
      <c r="V16" s="8"/>
    </row>
    <row r="17" ht="17" customHeight="1">
      <c r="A17" s="34">
        <v>7</v>
      </c>
      <c r="B17" s="34">
        <v>25</v>
      </c>
      <c r="C17" t="s" s="35">
        <v>59</v>
      </c>
      <c r="D17" t="s" s="36">
        <v>60</v>
      </c>
      <c r="E17" s="27" cm="1">
        <f t="array" ref="E17">IF($D17="","",_xlfn.IFERROR(IF($I17=-1,IF($D17&lt;0.5,$D17*86400,IF($D17&lt;100,$D17*1440,$D17)),IF($I17=2,VALUE(LEFT($D17,$J17-1))*3600+VALUE(MID($D17,$J17+1,$K17-$J17-1))*60,IF($I17=1,VALUE(LEFT($D17,$J17-1))*60,0))+IF($M17=0,VALUE($L17),VALUE(LEFT($L17,$M17-1))+VALUE(MID($L17,$M17+1,10))/10^(LEN($L17)-$M17))),""))</f>
        <v>2801</v>
      </c>
      <c r="F17" s="27" cm="1">
        <f t="array" ref="F17">IF($E17="","",MAX(0,$I$7-$E17))</f>
        <v>0</v>
      </c>
      <c r="G17" s="28" cm="1">
        <f t="array" ref="G17">IF($E17="","",$F17*$D$7)</f>
        <v>0</v>
      </c>
      <c r="H17" s="28" cm="1">
        <f t="array" ref="H17">IF($E17="","",$T17+IF(AND($V$6&gt;=$D$8,COUNT($E$11:$E17)=$V$7+1),$D$8,0))</f>
        <v>0</v>
      </c>
      <c r="I17" s="29" cm="1">
        <f t="array" ref="I17">IF($D17="","",IF(ISTEXT($D17),LEN($D17)-LEN(SUBSTITUTE($D17,":","")),-1))</f>
        <v>2</v>
      </c>
      <c r="J17" s="29" cm="1">
        <f t="array" ref="J17">_xlfn.IFERROR(FIND(":",$D17),0)</f>
        <v>3</v>
      </c>
      <c r="K17" s="29" cm="1">
        <f t="array" ref="K17">_xlfn.IFERROR(FIND(":",$D17,$J17+1),0)</f>
        <v>6</v>
      </c>
      <c r="L17" t="str" s="30" cm="1">
        <f t="array" ref="L17">IF($D17="","",IF($I17=2,MID($D17,$K17+1,10),IF($I17=1,MID($D17,$J17+1,10),IF($I17=0,$D17,""))))</f>
        <v>41.0</v>
      </c>
      <c r="M17" s="29" cm="1">
        <f t="array" ref="M17">IF($L17="",0,_xlfn.IFERROR(FIND(".",SUBSTITUTE($L17,",",".")),0))</f>
        <v>3</v>
      </c>
      <c r="N17" s="27" cm="1">
        <f t="array" ref="N17">IF($E17="",10^9,$E17)</f>
        <v>2801</v>
      </c>
      <c r="O17" s="27" cm="1">
        <f t="array" ref="O17">IF($E17="","",SUM($E$11:$E17))</f>
        <v>18008.3</v>
      </c>
      <c r="P17" s="27" cm="1">
        <f t="array" ref="P17">IF($E17="","",($D$6/$D$7+$O17)/COUNT($E$11:$E17))</f>
        <v>2602.614285714290</v>
      </c>
      <c r="Q17" s="29" cm="1">
        <f t="array" ref="Q17">IF($E17="",0,IF(AND($E17&lt;$P17,OR($E18="",$P17&lt;=$E18)),1,0))</f>
        <v>0</v>
      </c>
      <c r="R17" s="27" cm="1">
        <f t="array" ref="R17">IF($V$4=0,"",ROUND($V$4,1)-10+(17-11)*0.1)</f>
        <v>2513.7</v>
      </c>
      <c r="S17" s="28">
        <v>18000</v>
      </c>
      <c r="T17" s="28" cm="1">
        <f t="array" ref="T17">IF($E17="","",ROUND($G17/$D$8,0)*$D$8)</f>
        <v>0</v>
      </c>
      <c r="U17" s="14"/>
      <c r="V17" s="8"/>
    </row>
    <row r="18" ht="17" customHeight="1">
      <c r="A18" s="31">
        <v>8</v>
      </c>
      <c r="B18" s="31">
        <v>13</v>
      </c>
      <c r="C18" t="s" s="32">
        <v>62</v>
      </c>
      <c r="D18" t="s" s="33">
        <v>63</v>
      </c>
      <c r="E18" s="27" cm="1">
        <f t="array" ref="E18">IF($D18="","",_xlfn.IFERROR(IF($I18=-1,IF($D18&lt;0.5,$D18*86400,IF($D18&lt;100,$D18*1440,$D18)),IF($I18=2,VALUE(LEFT($D18,$J18-1))*3600+VALUE(MID($D18,$J18+1,$K18-$J18-1))*60,IF($I18=1,VALUE(LEFT($D18,$J18-1))*60,0))+IF($M18=0,VALUE($L18),VALUE(LEFT($L18,$M18-1))+VALUE(MID($L18,$M18+1,10))/10^(LEN($L18)-$M18))),""))</f>
        <v>2832.6</v>
      </c>
      <c r="F18" s="27" cm="1">
        <f t="array" ref="F18">IF($E18="","",MAX(0,$I$7-$E18))</f>
        <v>0</v>
      </c>
      <c r="G18" s="28" cm="1">
        <f t="array" ref="G18">IF($E18="","",$F18*$D$7)</f>
        <v>0</v>
      </c>
      <c r="H18" s="28" cm="1">
        <f t="array" ref="H18">IF($E18="","",$T18+IF(AND($V$6&gt;=$D$8,COUNT($E$11:$E18)=$V$7+1),$D$8,0))</f>
        <v>0</v>
      </c>
      <c r="I18" s="29" cm="1">
        <f t="array" ref="I18">IF($D18="","",IF(ISTEXT($D18),LEN($D18)-LEN(SUBSTITUTE($D18,":","")),-1))</f>
        <v>2</v>
      </c>
      <c r="J18" s="29" cm="1">
        <f t="array" ref="J18">_xlfn.IFERROR(FIND(":",$D18),0)</f>
        <v>3</v>
      </c>
      <c r="K18" s="29" cm="1">
        <f t="array" ref="K18">_xlfn.IFERROR(FIND(":",$D18,$J18+1),0)</f>
        <v>6</v>
      </c>
      <c r="L18" t="str" s="30" cm="1">
        <f t="array" ref="L18">IF($D18="","",IF($I18=2,MID($D18,$K18+1,10),IF($I18=1,MID($D18,$J18+1,10),IF($I18=0,$D18,""))))</f>
        <v>12.6</v>
      </c>
      <c r="M18" s="29" cm="1">
        <f t="array" ref="M18">IF($L18="",0,_xlfn.IFERROR(FIND(".",SUBSTITUTE($L18,",",".")),0))</f>
        <v>3</v>
      </c>
      <c r="N18" s="27" cm="1">
        <f t="array" ref="N18">IF($E18="",10^9,$E18)</f>
        <v>2832.6</v>
      </c>
      <c r="O18" s="27" cm="1">
        <f t="array" ref="O18">IF($E18="","",SUM($E$11:$E18))</f>
        <v>20840.9</v>
      </c>
      <c r="P18" s="27" cm="1">
        <f t="array" ref="P18">IF($E18="","",($D$6/$D$7+$O18)/COUNT($E$11:$E18))</f>
        <v>2631.3625</v>
      </c>
      <c r="Q18" s="29" cm="1">
        <f t="array" ref="Q18">IF($E18="",0,IF(AND($E18&lt;$P18,OR($E19="",$P18&lt;=$E19)),1,0))</f>
        <v>0</v>
      </c>
      <c r="R18" s="27" cm="1">
        <f t="array" ref="R18">IF($V$4=0,"",ROUND($V$4,1)-10+(18-11)*0.1)</f>
        <v>2513.8</v>
      </c>
      <c r="S18" s="28">
        <v>18000</v>
      </c>
      <c r="T18" s="28" cm="1">
        <f t="array" ref="T18">IF($E18="","",ROUND($G18/$D$8,0)*$D$8)</f>
        <v>0</v>
      </c>
      <c r="U18" s="14"/>
      <c r="V18" s="8"/>
    </row>
    <row r="19" ht="17" customHeight="1">
      <c r="A19" s="34" cm="1">
        <f t="array" ref="A19">A18+1</f>
        <v>9</v>
      </c>
      <c r="B19" s="34">
        <v>24</v>
      </c>
      <c r="C19" t="s" s="35">
        <v>65</v>
      </c>
      <c r="D19" t="s" s="36">
        <v>66</v>
      </c>
      <c r="E19" s="27" cm="1">
        <f t="array" ref="E19">IF($D19="","",_xlfn.IFERROR(IF($I19=-1,IF($D19&lt;0.5,$D19*86400,IF($D19&lt;100,$D19*1440,$D19)),IF($I19=2,VALUE(LEFT($D19,$J19-1))*3600+VALUE(MID($D19,$J19+1,$K19-$J19-1))*60,IF($I19=1,VALUE(LEFT($D19,$J19-1))*60,0))+IF($M19=0,VALUE($L19),VALUE(LEFT($L19,$M19-1))+VALUE(MID($L19,$M19+1,10))/10^(LEN($L19)-$M19))),""))</f>
        <v>2893.2</v>
      </c>
      <c r="F19" s="27" cm="1">
        <f t="array" ref="F19">IF($E19="","",MAX(0,$I$7-$E19))</f>
        <v>0</v>
      </c>
      <c r="G19" s="28" cm="1">
        <f t="array" ref="G19">IF($E19="","",$F19*$D$7)</f>
        <v>0</v>
      </c>
      <c r="H19" s="28" cm="1">
        <f t="array" ref="H19">IF($E19="","",$T19+IF(AND($V$6&gt;=$D$8,COUNT($E$11:$E19)=$V$7+1),$D$8,0))</f>
        <v>0</v>
      </c>
      <c r="I19" s="29" cm="1">
        <f t="array" ref="I19">IF($D19="","",IF(ISTEXT($D19),LEN($D19)-LEN(SUBSTITUTE($D19,":","")),-1))</f>
        <v>2</v>
      </c>
      <c r="J19" s="29" cm="1">
        <f t="array" ref="J19">_xlfn.IFERROR(FIND(":",$D19),0)</f>
        <v>3</v>
      </c>
      <c r="K19" s="29" cm="1">
        <f t="array" ref="K19">_xlfn.IFERROR(FIND(":",$D19,$J19+1),0)</f>
        <v>6</v>
      </c>
      <c r="L19" t="str" s="30" cm="1">
        <f t="array" ref="L19">IF($D19="","",IF($I19=2,MID($D19,$K19+1,10),IF($I19=1,MID($D19,$J19+1,10),IF($I19=0,$D19,""))))</f>
        <v>13.2</v>
      </c>
      <c r="M19" s="29" cm="1">
        <f t="array" ref="M19">IF($L19="",0,_xlfn.IFERROR(FIND(".",SUBSTITUTE($L19,",",".")),0))</f>
        <v>3</v>
      </c>
      <c r="N19" s="27" cm="1">
        <f t="array" ref="N19">IF($E19="",10^9,$E19)</f>
        <v>2893.2</v>
      </c>
      <c r="O19" s="27" cm="1">
        <f t="array" ref="O19">IF($E19="","",SUM($E$11:$E19))</f>
        <v>23734.1</v>
      </c>
      <c r="P19" s="27" cm="1">
        <f t="array" ref="P19">IF($E19="","",($D$6/$D$7+$O19)/COUNT($E$11:$E19))</f>
        <v>2660.455555555560</v>
      </c>
      <c r="Q19" s="29" cm="1">
        <f t="array" ref="Q19">IF($E19="",0,IF(AND($E19&lt;$P19,OR($E20="",$P19&lt;=$E20)),1,0))</f>
        <v>0</v>
      </c>
      <c r="R19" s="27" cm="1">
        <f t="array" ref="R19">IF($V$4=0,"",ROUND($V$4,1)-10+(19-11)*0.1)</f>
        <v>2513.9</v>
      </c>
      <c r="S19" s="28">
        <v>18000</v>
      </c>
      <c r="T19" s="28" cm="1">
        <f t="array" ref="T19">IF($E19="","",ROUND($G19/$D$8,0)*$D$8)</f>
        <v>0</v>
      </c>
      <c r="U19" s="14"/>
      <c r="V19" s="8"/>
    </row>
    <row r="20" ht="17" customHeight="1">
      <c r="A20" s="34" cm="1">
        <f t="array" ref="A20">A19+1</f>
        <v>10</v>
      </c>
      <c r="B20" s="31">
        <v>12</v>
      </c>
      <c r="C20" t="s" s="32">
        <v>68</v>
      </c>
      <c r="D20" t="s" s="33">
        <v>69</v>
      </c>
      <c r="E20" s="27" cm="1">
        <f t="array" ref="E20">IF($D20="","",_xlfn.IFERROR(IF($I20=-1,IF($D20&lt;0.5,$D20*86400,IF($D20&lt;100,$D20*1440,$D20)),IF($I20=2,VALUE(LEFT($D20,$J20-1))*3600+VALUE(MID($D20,$J20+1,$K20-$J20-1))*60,IF($I20=1,VALUE(LEFT($D20,$J20-1))*60,0))+IF($M20=0,VALUE($L20),VALUE(LEFT($L20,$M20-1))+VALUE(MID($L20,$M20+1,10))/10^(LEN($L20)-$M20))),""))</f>
        <v>2996.7</v>
      </c>
      <c r="F20" s="27" cm="1">
        <f t="array" ref="F20">IF($E20="","",MAX(0,$I$7-$E20))</f>
        <v>0</v>
      </c>
      <c r="G20" s="28" cm="1">
        <f t="array" ref="G20">IF($E20="","",$F20*$D$7)</f>
        <v>0</v>
      </c>
      <c r="H20" s="28" cm="1">
        <f t="array" ref="H20">IF($E20="","",$T20+IF(AND($V$6&gt;=$D$8,COUNT($E$11:$E20)=$V$7+1),$D$8,0))</f>
        <v>0</v>
      </c>
      <c r="I20" s="29" cm="1">
        <f t="array" ref="I20">IF($D20="","",IF(ISTEXT($D20),LEN($D20)-LEN(SUBSTITUTE($D20,":","")),-1))</f>
        <v>2</v>
      </c>
      <c r="J20" s="29" cm="1">
        <f t="array" ref="J20">_xlfn.IFERROR(FIND(":",$D20),0)</f>
        <v>3</v>
      </c>
      <c r="K20" s="29" cm="1">
        <f t="array" ref="K20">_xlfn.IFERROR(FIND(":",$D20,$J20+1),0)</f>
        <v>6</v>
      </c>
      <c r="L20" t="str" s="30" cm="1">
        <f t="array" ref="L20">IF($D20="","",IF($I20=2,MID($D20,$K20+1,10),IF($I20=1,MID($D20,$J20+1,10),IF($I20=0,$D20,""))))</f>
        <v>56.7</v>
      </c>
      <c r="M20" s="29" cm="1">
        <f t="array" ref="M20">IF($L20="",0,_xlfn.IFERROR(FIND(".",SUBSTITUTE($L20,",",".")),0))</f>
        <v>3</v>
      </c>
      <c r="N20" s="27" cm="1">
        <f t="array" ref="N20">IF($E20="",10^9,$E20)</f>
        <v>2996.7</v>
      </c>
      <c r="O20" s="27" cm="1">
        <f t="array" ref="O20">IF($E20="","",SUM($E$11:$E20))</f>
        <v>26730.8</v>
      </c>
      <c r="P20" s="27" cm="1">
        <f t="array" ref="P20">IF($E20="","",($D$6/$D$7+$O20)/COUNT($E$11:$E20))</f>
        <v>2694.08</v>
      </c>
      <c r="Q20" s="29" cm="1">
        <f t="array" ref="Q20">IF($E20="",0,IF(AND($E20&lt;$P20,OR($E21="",$P20&lt;=$E21)),1,0))</f>
        <v>0</v>
      </c>
      <c r="R20" s="27" cm="1">
        <f t="array" ref="R20">IF($V$4=0,"",ROUND($V$4,1)-10+(20-11)*0.1)</f>
        <v>2514</v>
      </c>
      <c r="S20" s="28">
        <v>18000</v>
      </c>
      <c r="T20" s="28" cm="1">
        <f t="array" ref="T20">IF($E20="","",ROUND($G20/$D$8,0)*$D$8)</f>
        <v>0</v>
      </c>
      <c r="U20" s="14"/>
      <c r="V20" s="8"/>
    </row>
    <row r="21" ht="17" customHeight="1">
      <c r="A21" s="34" cm="1">
        <f t="array" ref="A21">A20+1</f>
        <v>11</v>
      </c>
      <c r="B21" s="34">
        <v>6</v>
      </c>
      <c r="C21" t="s" s="35">
        <v>71</v>
      </c>
      <c r="D21" t="s" s="36">
        <v>72</v>
      </c>
      <c r="E21" s="27" cm="1">
        <f t="array" ref="E21">IF($D21="","",_xlfn.IFERROR(IF($I21=-1,IF($D21&lt;0.5,$D21*86400,IF($D21&lt;100,$D21*1440,$D21)),IF($I21=2,VALUE(LEFT($D21,$J21-1))*3600+VALUE(MID($D21,$J21+1,$K21-$J21-1))*60,IF($I21=1,VALUE(LEFT($D21,$J21-1))*60,0))+IF($M21=0,VALUE($L21),VALUE(LEFT($L21,$M21-1))+VALUE(MID($L21,$M21+1,10))/10^(LEN($L21)-$M21))),""))</f>
        <v>3046</v>
      </c>
      <c r="F21" s="27" cm="1">
        <f t="array" ref="F21">IF($E21="","",MAX(0,$I$7-$E21))</f>
        <v>0</v>
      </c>
      <c r="G21" s="28" cm="1">
        <f t="array" ref="G21">IF($E21="","",$F21*$D$7)</f>
        <v>0</v>
      </c>
      <c r="H21" s="28" cm="1">
        <f t="array" ref="H21">IF($E21="","",$T21+IF(AND($V$6&gt;=$D$8,COUNT($E$11:$E21)=$V$7+1),$D$8,0))</f>
        <v>0</v>
      </c>
      <c r="I21" s="29" cm="1">
        <f t="array" ref="I21">IF($D21="","",IF(ISTEXT($D21),LEN($D21)-LEN(SUBSTITUTE($D21,":","")),-1))</f>
        <v>2</v>
      </c>
      <c r="J21" s="29" cm="1">
        <f t="array" ref="J21">_xlfn.IFERROR(FIND(":",$D21),0)</f>
        <v>3</v>
      </c>
      <c r="K21" s="29" cm="1">
        <f t="array" ref="K21">_xlfn.IFERROR(FIND(":",$D21,$J21+1),0)</f>
        <v>6</v>
      </c>
      <c r="L21" t="str" s="30" cm="1">
        <f t="array" ref="L21">IF($D21="","",IF($I21=2,MID($D21,$K21+1,10),IF($I21=1,MID($D21,$J21+1,10),IF($I21=0,$D21,""))))</f>
        <v>46.0</v>
      </c>
      <c r="M21" s="29" cm="1">
        <f t="array" ref="M21">IF($L21="",0,_xlfn.IFERROR(FIND(".",SUBSTITUTE($L21,",",".")),0))</f>
        <v>3</v>
      </c>
      <c r="N21" s="27" cm="1">
        <f t="array" ref="N21">IF($E21="",10^9,$E21)</f>
        <v>3046</v>
      </c>
      <c r="O21" s="27" cm="1">
        <f t="array" ref="O21">IF($E21="","",SUM($E$11:$E21))</f>
        <v>29776.8</v>
      </c>
      <c r="P21" s="27" cm="1">
        <f t="array" ref="P21">IF($E21="","",($D$6/$D$7+$O21)/COUNT($E$11:$E21))</f>
        <v>2726.072727272730</v>
      </c>
      <c r="Q21" s="29" cm="1">
        <f t="array" ref="Q21">IF($E21="",0,IF(AND($E21&lt;$P21,OR($E22="",$P21&lt;=$E22)),1,0))</f>
        <v>0</v>
      </c>
      <c r="R21" s="27" cm="1">
        <f t="array" ref="R21">IF($V$4=0,"",ROUND($V$4,1)-10+(21-11)*0.1)</f>
        <v>2514.1</v>
      </c>
      <c r="S21" s="28">
        <v>18000</v>
      </c>
      <c r="T21" s="28" cm="1">
        <f t="array" ref="T21">IF($E21="","",ROUND($G21/$D$8,0)*$D$8)</f>
        <v>0</v>
      </c>
      <c r="U21" s="14"/>
      <c r="V21" s="8"/>
    </row>
    <row r="22" ht="17" customHeight="1">
      <c r="A22" s="34" cm="1">
        <f t="array" ref="A22">A21+1</f>
        <v>12</v>
      </c>
      <c r="B22" s="34">
        <v>20</v>
      </c>
      <c r="C22" t="s" s="35">
        <v>74</v>
      </c>
      <c r="D22" t="s" s="36">
        <v>75</v>
      </c>
      <c r="E22" s="27" cm="1">
        <f t="array" ref="E22">IF($D22="","",_xlfn.IFERROR(IF($I22=-1,IF($D22&lt;0.5,$D22*86400,IF($D22&lt;100,$D22*1440,$D22)),IF($I22=2,VALUE(LEFT($D22,$J22-1))*3600+VALUE(MID($D22,$J22+1,$K22-$J22-1))*60,IF($I22=1,VALUE(LEFT($D22,$J22-1))*60,0))+IF($M22=0,VALUE($L22),VALUE(LEFT($L22,$M22-1))+VALUE(MID($L22,$M22+1,10))/10^(LEN($L22)-$M22))),""))</f>
        <v>3128.4</v>
      </c>
      <c r="F22" s="27" cm="1">
        <f t="array" ref="F22">IF($E22="","",MAX(0,$I$7-$E22))</f>
        <v>0</v>
      </c>
      <c r="G22" s="28" cm="1">
        <f t="array" ref="G22">IF($E22="","",$F22*$D$7)</f>
        <v>0</v>
      </c>
      <c r="H22" s="28" cm="1">
        <f t="array" ref="H22">IF($E22="","",$T22+IF(AND($V$6&gt;=$D$8,COUNT($E$11:$E22)=$V$7+1),$D$8,0))</f>
        <v>0</v>
      </c>
      <c r="I22" s="29" cm="1">
        <f t="array" ref="I22">IF($D22="","",IF(ISTEXT($D22),LEN($D22)-LEN(SUBSTITUTE($D22,":","")),-1))</f>
        <v>2</v>
      </c>
      <c r="J22" s="29" cm="1">
        <f t="array" ref="J22">_xlfn.IFERROR(FIND(":",$D22),0)</f>
        <v>3</v>
      </c>
      <c r="K22" s="29" cm="1">
        <f t="array" ref="K22">_xlfn.IFERROR(FIND(":",$D22,$J22+1),0)</f>
        <v>6</v>
      </c>
      <c r="L22" t="str" s="30" cm="1">
        <f t="array" ref="L22">IF($D22="","",IF($I22=2,MID($D22,$K22+1,10),IF($I22=1,MID($D22,$J22+1,10),IF($I22=0,$D22,""))))</f>
        <v>08.4</v>
      </c>
      <c r="M22" s="29" cm="1">
        <f t="array" ref="M22">IF($L22="",0,_xlfn.IFERROR(FIND(".",SUBSTITUTE($L22,",",".")),0))</f>
        <v>3</v>
      </c>
      <c r="N22" s="27" cm="1">
        <f t="array" ref="N22">IF($E22="",10^9,$E22)</f>
        <v>3128.4</v>
      </c>
      <c r="O22" s="27" cm="1">
        <f t="array" ref="O22">IF($E22="","",SUM($E$11:$E22))</f>
        <v>32905.2</v>
      </c>
      <c r="P22" s="27" cm="1">
        <f t="array" ref="P22">IF($E22="","",($D$6/$D$7+$O22)/COUNT($E$11:$E22))</f>
        <v>2759.6</v>
      </c>
      <c r="Q22" s="29" cm="1">
        <f t="array" ref="Q22">IF($E22="",0,IF(AND($E22&lt;$P22,OR($E23="",$P22&lt;=$E23)),1,0))</f>
        <v>0</v>
      </c>
      <c r="R22" s="27" cm="1">
        <f t="array" ref="R22">IF($V$4=0,"",ROUND($V$4,1)-10+(22-11)*0.1)</f>
        <v>2514.2</v>
      </c>
      <c r="S22" s="28">
        <v>18000</v>
      </c>
      <c r="T22" s="28" cm="1">
        <f t="array" ref="T22">IF($E22="","",ROUND($G22/$D$8,0)*$D$8)</f>
        <v>0</v>
      </c>
      <c r="U22" s="14"/>
      <c r="V22" s="8"/>
    </row>
    <row r="23" ht="17" customHeight="1">
      <c r="A23" s="34" cm="1">
        <f t="array" ref="A23">A22+1</f>
        <v>13</v>
      </c>
      <c r="B23" s="31">
        <v>9</v>
      </c>
      <c r="C23" t="s" s="32">
        <v>77</v>
      </c>
      <c r="D23" t="s" s="33">
        <v>78</v>
      </c>
      <c r="E23" s="27" cm="1">
        <f t="array" ref="E23">IF($D23="","",_xlfn.IFERROR(IF($I23=-1,IF($D23&lt;0.5,$D23*86400,IF($D23&lt;100,$D23*1440,$D23)),IF($I23=2,VALUE(LEFT($D23,$J23-1))*3600+VALUE(MID($D23,$J23+1,$K23-$J23-1))*60,IF($I23=1,VALUE(LEFT($D23,$J23-1))*60,0))+IF($M23=0,VALUE($L23),VALUE(LEFT($L23,$M23-1))+VALUE(MID($L23,$M23+1,10))/10^(LEN($L23)-$M23))),""))</f>
        <v>3131.1</v>
      </c>
      <c r="F23" s="27" cm="1">
        <f t="array" ref="F23">IF($E23="","",MAX(0,$I$7-$E23))</f>
        <v>0</v>
      </c>
      <c r="G23" s="28" cm="1">
        <f t="array" ref="G23">IF($E23="","",$F23*$D$7)</f>
        <v>0</v>
      </c>
      <c r="H23" s="28" cm="1">
        <f t="array" ref="H23">IF($E23="","",$T23+IF(AND($V$6&gt;=$D$8,COUNT($E$11:$E23)=$V$7+1),$D$8,0))</f>
        <v>0</v>
      </c>
      <c r="I23" s="29" cm="1">
        <f t="array" ref="I23">IF($D23="","",IF(ISTEXT($D23),LEN($D23)-LEN(SUBSTITUTE($D23,":","")),-1))</f>
        <v>2</v>
      </c>
      <c r="J23" s="29" cm="1">
        <f t="array" ref="J23">_xlfn.IFERROR(FIND(":",$D23),0)</f>
        <v>3</v>
      </c>
      <c r="K23" s="29" cm="1">
        <f t="array" ref="K23">_xlfn.IFERROR(FIND(":",$D23,$J23+1),0)</f>
        <v>6</v>
      </c>
      <c r="L23" t="str" s="30" cm="1">
        <f t="array" ref="L23">IF($D23="","",IF($I23=2,MID($D23,$K23+1,10),IF($I23=1,MID($D23,$J23+1,10),IF($I23=0,$D23,""))))</f>
        <v>11.1</v>
      </c>
      <c r="M23" s="29" cm="1">
        <f t="array" ref="M23">IF($L23="",0,_xlfn.IFERROR(FIND(".",SUBSTITUTE($L23,",",".")),0))</f>
        <v>3</v>
      </c>
      <c r="N23" s="27" cm="1">
        <f t="array" ref="N23">IF($E23="",10^9,$E23)</f>
        <v>3131.1</v>
      </c>
      <c r="O23" s="27" cm="1">
        <f t="array" ref="O23">IF($E23="","",SUM($E$11:$E23))</f>
        <v>36036.3</v>
      </c>
      <c r="P23" s="27" cm="1">
        <f t="array" ref="P23">IF($E23="","",($D$6/$D$7+$O23)/COUNT($E$11:$E23))</f>
        <v>2788.176923076920</v>
      </c>
      <c r="Q23" s="29" cm="1">
        <f t="array" ref="Q23">IF($E23="",0,IF(AND($E23&lt;$P23,OR($E24="",$P23&lt;=$E24)),1,0))</f>
        <v>0</v>
      </c>
      <c r="R23" s="27" cm="1">
        <f t="array" ref="R23">IF($V$4=0,"",ROUND($V$4,1)-10+(23-11)*0.1)</f>
        <v>2514.3</v>
      </c>
      <c r="S23" s="28">
        <v>18000</v>
      </c>
      <c r="T23" s="28" cm="1">
        <f t="array" ref="T23">IF($E23="","",ROUND($G23/$D$8,0)*$D$8)</f>
        <v>0</v>
      </c>
      <c r="U23" s="14"/>
      <c r="V23" s="8"/>
    </row>
    <row r="24" ht="17" customHeight="1">
      <c r="A24" s="34" cm="1">
        <f t="array" ref="A24">A23+1</f>
        <v>14</v>
      </c>
      <c r="B24" s="34">
        <v>14</v>
      </c>
      <c r="C24" t="s" s="35">
        <v>80</v>
      </c>
      <c r="D24" t="s" s="36">
        <v>81</v>
      </c>
      <c r="E24" s="27" cm="1">
        <f t="array" ref="E24">IF($D24="","",_xlfn.IFERROR(IF($I24=-1,IF($D24&lt;0.5,$D24*86400,IF($D24&lt;100,$D24*1440,$D24)),IF($I24=2,VALUE(LEFT($D24,$J24-1))*3600+VALUE(MID($D24,$J24+1,$K24-$J24-1))*60,IF($I24=1,VALUE(LEFT($D24,$J24-1))*60,0))+IF($M24=0,VALUE($L24),VALUE(LEFT($L24,$M24-1))+VALUE(MID($L24,$M24+1,10))/10^(LEN($L24)-$M24))),""))</f>
        <v>3152.5</v>
      </c>
      <c r="F24" s="27" cm="1">
        <f t="array" ref="F24">IF($E24="","",MAX(0,$I$7-$E24))</f>
        <v>0</v>
      </c>
      <c r="G24" s="28" cm="1">
        <f t="array" ref="G24">IF($E24="","",$F24*$D$7)</f>
        <v>0</v>
      </c>
      <c r="H24" s="28" cm="1">
        <f t="array" ref="H24">IF($E24="","",$T24+IF(AND($V$6&gt;=$D$8,COUNT($E$11:$E24)=$V$7+1),$D$8,0))</f>
        <v>0</v>
      </c>
      <c r="I24" s="29" cm="1">
        <f t="array" ref="I24">IF($D24="","",IF(ISTEXT($D24),LEN($D24)-LEN(SUBSTITUTE($D24,":","")),-1))</f>
        <v>2</v>
      </c>
      <c r="J24" s="29" cm="1">
        <f t="array" ref="J24">_xlfn.IFERROR(FIND(":",$D24),0)</f>
        <v>3</v>
      </c>
      <c r="K24" s="29" cm="1">
        <f t="array" ref="K24">_xlfn.IFERROR(FIND(":",$D24,$J24+1),0)</f>
        <v>6</v>
      </c>
      <c r="L24" t="str" s="30" cm="1">
        <f t="array" ref="L24">IF($D24="","",IF($I24=2,MID($D24,$K24+1,10),IF($I24=1,MID($D24,$J24+1,10),IF($I24=0,$D24,""))))</f>
        <v>32.5</v>
      </c>
      <c r="M24" s="29" cm="1">
        <f t="array" ref="M24">IF($L24="",0,_xlfn.IFERROR(FIND(".",SUBSTITUTE($L24,",",".")),0))</f>
        <v>3</v>
      </c>
      <c r="N24" s="27" cm="1">
        <f t="array" ref="N24">IF($E24="",10^9,$E24)</f>
        <v>3152.5</v>
      </c>
      <c r="O24" s="27" cm="1">
        <f t="array" ref="O24">IF($E24="","",SUM($E$11:$E24))</f>
        <v>39188.8</v>
      </c>
      <c r="P24" s="27" cm="1">
        <f t="array" ref="P24">IF($E24="","",($D$6/$D$7+$O24)/COUNT($E$11:$E24))</f>
        <v>2814.2</v>
      </c>
      <c r="Q24" s="29" cm="1">
        <f t="array" ref="Q24">IF($E24="",0,IF(AND($E24&lt;$P24,OR($E25="",$P24&lt;=$E25)),1,0))</f>
        <v>0</v>
      </c>
      <c r="R24" s="27" cm="1">
        <f t="array" ref="R24">IF($V$4=0,"",ROUND($V$4,1)-10+(24-11)*0.1)</f>
        <v>2514.4</v>
      </c>
      <c r="S24" s="28">
        <v>18000</v>
      </c>
      <c r="T24" s="28" cm="1">
        <f t="array" ref="T24">IF($E24="","",ROUND($G24/$D$8,0)*$D$8)</f>
        <v>0</v>
      </c>
      <c r="U24" s="14"/>
      <c r="V24" s="8"/>
    </row>
    <row r="25" ht="17" customHeight="1">
      <c r="A25" s="34" cm="1">
        <f t="array" ref="A25">A24+1</f>
        <v>15</v>
      </c>
      <c r="B25" s="34">
        <v>11</v>
      </c>
      <c r="C25" t="s" s="35">
        <v>83</v>
      </c>
      <c r="D25" t="s" s="36">
        <v>84</v>
      </c>
      <c r="E25" s="27" cm="1">
        <f t="array" ref="E25">IF($D25="","",_xlfn.IFERROR(IF($I25=-1,IF($D25&lt;0.5,$D25*86400,IF($D25&lt;100,$D25*1440,$D25)),IF($I25=2,VALUE(LEFT($D25,$J25-1))*3600+VALUE(MID($D25,$J25+1,$K25-$J25-1))*60,IF($I25=1,VALUE(LEFT($D25,$J25-1))*60,0))+IF($M25=0,VALUE($L25),VALUE(LEFT($L25,$M25-1))+VALUE(MID($L25,$M25+1,10))/10^(LEN($L25)-$M25))),""))</f>
        <v>3234.3</v>
      </c>
      <c r="F25" s="27" cm="1">
        <f t="array" ref="F25">IF($E25="","",MAX(0,$I$7-$E25))</f>
        <v>0</v>
      </c>
      <c r="G25" s="28" cm="1">
        <f t="array" ref="G25">IF($E25="","",$F25*$D$7)</f>
        <v>0</v>
      </c>
      <c r="H25" s="28" cm="1">
        <f t="array" ref="H25">IF($E25="","",$T25+IF(AND($V$6&gt;=$D$8,COUNT($E$11:$E25)=$V$7+1),$D$8,0))</f>
        <v>0</v>
      </c>
      <c r="I25" s="29" cm="1">
        <f t="array" ref="I25">IF($D25="","",IF(ISTEXT($D25),LEN($D25)-LEN(SUBSTITUTE($D25,":","")),-1))</f>
        <v>2</v>
      </c>
      <c r="J25" s="29" cm="1">
        <f t="array" ref="J25">_xlfn.IFERROR(FIND(":",$D25),0)</f>
        <v>3</v>
      </c>
      <c r="K25" s="29" cm="1">
        <f t="array" ref="K25">_xlfn.IFERROR(FIND(":",$D25,$J25+1),0)</f>
        <v>6</v>
      </c>
      <c r="L25" t="str" s="30" cm="1">
        <f t="array" ref="L25">IF($D25="","",IF($I25=2,MID($D25,$K25+1,10),IF($I25=1,MID($D25,$J25+1,10),IF($I25=0,$D25,""))))</f>
        <v>54.3</v>
      </c>
      <c r="M25" s="29" cm="1">
        <f t="array" ref="M25">IF($L25="",0,_xlfn.IFERROR(FIND(".",SUBSTITUTE($L25,",",".")),0))</f>
        <v>3</v>
      </c>
      <c r="N25" s="27" cm="1">
        <f t="array" ref="N25">IF($E25="",10^9,$E25)</f>
        <v>3234.3</v>
      </c>
      <c r="O25" s="27" cm="1">
        <f t="array" ref="O25">IF($E25="","",SUM($E$11:$E25))</f>
        <v>42423.1</v>
      </c>
      <c r="P25" s="27" cm="1">
        <f t="array" ref="P25">IF($E25="","",($D$6/$D$7+$O25)/COUNT($E$11:$E25))</f>
        <v>2842.206666666670</v>
      </c>
      <c r="Q25" s="29" cm="1">
        <f t="array" ref="Q25">IF($E25="",0,IF(AND($E25&lt;$P25,OR($E26="",$P25&lt;=$E26)),1,0))</f>
        <v>0</v>
      </c>
      <c r="R25" s="27" cm="1">
        <f t="array" ref="R25">IF($V$4=0,"",ROUND($V$4,1)-10+(25-11)*0.1)</f>
        <v>2514.5</v>
      </c>
      <c r="S25" s="28">
        <v>18000</v>
      </c>
      <c r="T25" s="28" cm="1">
        <f t="array" ref="T25">IF($E25="","",ROUND($G25/$D$8,0)*$D$8)</f>
        <v>0</v>
      </c>
      <c r="U25" s="14"/>
      <c r="V25" s="8"/>
    </row>
    <row r="26" ht="17" customHeight="1">
      <c r="A26" s="34" cm="1">
        <f t="array" ref="A26">A25+1</f>
        <v>16</v>
      </c>
      <c r="B26" s="31">
        <v>10</v>
      </c>
      <c r="C26" t="s" s="32">
        <v>86</v>
      </c>
      <c r="D26" t="s" s="33">
        <v>87</v>
      </c>
      <c r="E26" s="27" cm="1">
        <f t="array" ref="E26">IF($D26="","",_xlfn.IFERROR(IF($I26=-1,IF($D26&lt;0.5,$D26*86400,IF($D26&lt;100,$D26*1440,$D26)),IF($I26=2,VALUE(LEFT($D26,$J26-1))*3600+VALUE(MID($D26,$J26+1,$K26-$J26-1))*60,IF($I26=1,VALUE(LEFT($D26,$J26-1))*60,0))+IF($M26=0,VALUE($L26),VALUE(LEFT($L26,$M26-1))+VALUE(MID($L26,$M26+1,10))/10^(LEN($L26)-$M26))),""))</f>
        <v>3326.2</v>
      </c>
      <c r="F26" s="27" cm="1">
        <f t="array" ref="F26">IF($E26="","",MAX(0,$I$7-$E26))</f>
        <v>0</v>
      </c>
      <c r="G26" s="28" cm="1">
        <f t="array" ref="G26">IF($E26="","",$F26*$D$7)</f>
        <v>0</v>
      </c>
      <c r="H26" s="28" cm="1">
        <f t="array" ref="H26">IF($E26="","",$T26+IF(AND($V$6&gt;=$D$8,COUNT($E$11:$E26)=$V$7+1),$D$8,0))</f>
        <v>0</v>
      </c>
      <c r="I26" s="29" cm="1">
        <f t="array" ref="I26">IF($D26="","",IF(ISTEXT($D26),LEN($D26)-LEN(SUBSTITUTE($D26,":","")),-1))</f>
        <v>2</v>
      </c>
      <c r="J26" s="29" cm="1">
        <f t="array" ref="J26">_xlfn.IFERROR(FIND(":",$D26),0)</f>
        <v>3</v>
      </c>
      <c r="K26" s="29" cm="1">
        <f t="array" ref="K26">_xlfn.IFERROR(FIND(":",$D26,$J26+1),0)</f>
        <v>6</v>
      </c>
      <c r="L26" t="str" s="30" cm="1">
        <f t="array" ref="L26">IF($D26="","",IF($I26=2,MID($D26,$K26+1,10),IF($I26=1,MID($D26,$J26+1,10),IF($I26=0,$D26,""))))</f>
        <v>26.2</v>
      </c>
      <c r="M26" s="29" cm="1">
        <f t="array" ref="M26">IF($L26="",0,_xlfn.IFERROR(FIND(".",SUBSTITUTE($L26,",",".")),0))</f>
        <v>3</v>
      </c>
      <c r="N26" s="27" cm="1">
        <f t="array" ref="N26">IF($E26="",10^9,$E26)</f>
        <v>3326.2</v>
      </c>
      <c r="O26" s="27" cm="1">
        <f t="array" ref="O26">IF($E26="","",SUM($E$11:$E26))</f>
        <v>45749.3</v>
      </c>
      <c r="P26" s="27" cm="1">
        <f t="array" ref="P26">IF($E26="","",($D$6/$D$7+$O26)/COUNT($E$11:$E26))</f>
        <v>2872.45625</v>
      </c>
      <c r="Q26" s="29" cm="1">
        <f t="array" ref="Q26">IF($E26="",0,IF(AND($E26&lt;$P26,OR($E27="",$P26&lt;=$E27)),1,0))</f>
        <v>0</v>
      </c>
      <c r="R26" s="27" cm="1">
        <f t="array" ref="R26">IF($V$4=0,"",ROUND($V$4,1)-10+(26-11)*0.1)</f>
        <v>2514.6</v>
      </c>
      <c r="S26" s="28">
        <v>19000</v>
      </c>
      <c r="T26" s="28" cm="1">
        <f t="array" ref="T26">IF($E26="","",ROUND($G26/$D$8,0)*$D$8)</f>
        <v>0</v>
      </c>
      <c r="U26" s="14"/>
      <c r="V26" s="8"/>
    </row>
    <row r="27" ht="17" customHeight="1">
      <c r="A27" s="34" cm="1">
        <f t="array" ref="A27">A26+1</f>
        <v>17</v>
      </c>
      <c r="B27" s="34">
        <v>7</v>
      </c>
      <c r="C27" t="s" s="35">
        <v>89</v>
      </c>
      <c r="D27" t="s" s="36">
        <v>90</v>
      </c>
      <c r="E27" s="27" cm="1">
        <f t="array" ref="E27">IF($D27="","",_xlfn.IFERROR(IF($I27=-1,IF($D27&lt;0.5,$D27*86400,IF($D27&lt;100,$D27*1440,$D27)),IF($I27=2,VALUE(LEFT($D27,$J27-1))*3600+VALUE(MID($D27,$J27+1,$K27-$J27-1))*60,IF($I27=1,VALUE(LEFT($D27,$J27-1))*60,0))+IF($M27=0,VALUE($L27),VALUE(LEFT($L27,$M27-1))+VALUE(MID($L27,$M27+1,10))/10^(LEN($L27)-$M27))),""))</f>
        <v>3335.1</v>
      </c>
      <c r="F27" s="27" cm="1">
        <f t="array" ref="F27">IF($E27="","",MAX(0,$I$7-$E27))</f>
        <v>0</v>
      </c>
      <c r="G27" s="28" cm="1">
        <f t="array" ref="G27">IF($E27="","",$F27*$D$7)</f>
        <v>0</v>
      </c>
      <c r="H27" s="28" cm="1">
        <f t="array" ref="H27">IF($E27="","",$T27+IF(AND($V$6&gt;=$D$8,COUNT($E$11:$E27)=$V$7+1),$D$8,0))</f>
        <v>0</v>
      </c>
      <c r="I27" s="29" cm="1">
        <f t="array" ref="I27">IF($D27="","",IF(ISTEXT($D27),LEN($D27)-LEN(SUBSTITUTE($D27,":","")),-1))</f>
        <v>2</v>
      </c>
      <c r="J27" s="29" cm="1">
        <f t="array" ref="J27">_xlfn.IFERROR(FIND(":",$D27),0)</f>
        <v>3</v>
      </c>
      <c r="K27" s="29" cm="1">
        <f t="array" ref="K27">_xlfn.IFERROR(FIND(":",$D27,$J27+1),0)</f>
        <v>6</v>
      </c>
      <c r="L27" t="str" s="30" cm="1">
        <f t="array" ref="L27">IF($D27="","",IF($I27=2,MID($D27,$K27+1,10),IF($I27=1,MID($D27,$J27+1,10),IF($I27=0,$D27,""))))</f>
        <v>35.1</v>
      </c>
      <c r="M27" s="29" cm="1">
        <f t="array" ref="M27">IF($L27="",0,_xlfn.IFERROR(FIND(".",SUBSTITUTE($L27,",",".")),0))</f>
        <v>3</v>
      </c>
      <c r="N27" s="27" cm="1">
        <f t="array" ref="N27">IF($E27="",10^9,$E27)</f>
        <v>3335.1</v>
      </c>
      <c r="O27" s="27" cm="1">
        <f t="array" ref="O27">IF($E27="","",SUM($E$11:$E27))</f>
        <v>49084.4</v>
      </c>
      <c r="P27" s="27" cm="1">
        <f t="array" ref="P27">IF($E27="","",($D$6/$D$7+$O27)/COUNT($E$11:$E27))</f>
        <v>2899.670588235290</v>
      </c>
      <c r="Q27" s="29" cm="1">
        <f t="array" ref="Q27">IF($E27="",0,IF(AND($E27&lt;$P27,OR($E28="",$P27&lt;=$E28)),1,0))</f>
        <v>0</v>
      </c>
      <c r="R27" s="27" cm="1">
        <f t="array" ref="R27">IF($V$4=0,"",ROUND($V$4,1)-10+(27-11)*0.1)</f>
        <v>2514.7</v>
      </c>
      <c r="S27" s="28">
        <v>19000</v>
      </c>
      <c r="T27" s="28" cm="1">
        <f t="array" ref="T27">IF($E27="","",ROUND($G27/$D$8,0)*$D$8)</f>
        <v>0</v>
      </c>
      <c r="U27" s="14"/>
      <c r="V27" s="8"/>
    </row>
    <row r="28" ht="17" customHeight="1">
      <c r="A28" s="34" cm="1">
        <f t="array" ref="A28">A27+1</f>
        <v>18</v>
      </c>
      <c r="B28" s="31">
        <v>1</v>
      </c>
      <c r="C28" t="s" s="32">
        <v>92</v>
      </c>
      <c r="D28" t="s" s="33">
        <v>93</v>
      </c>
      <c r="E28" s="27" cm="1">
        <f t="array" ref="E28">IF($D28="","",_xlfn.IFERROR(IF($I28=-1,IF($D28&lt;0.5,$D28*86400,IF($D28&lt;100,$D28*1440,$D28)),IF($I28=2,VALUE(LEFT($D28,$J28-1))*3600+VALUE(MID($D28,$J28+1,$K28-$J28-1))*60,IF($I28=1,VALUE(LEFT($D28,$J28-1))*60,0))+IF($M28=0,VALUE($L28),VALUE(LEFT($L28,$M28-1))+VALUE(MID($L28,$M28+1,10))/10^(LEN($L28)-$M28))),""))</f>
        <v>3360.3</v>
      </c>
      <c r="F28" s="27" cm="1">
        <f t="array" ref="F28">IF($E28="","",MAX(0,$I$7-$E28))</f>
        <v>0</v>
      </c>
      <c r="G28" s="28" cm="1">
        <f t="array" ref="G28">IF($E28="","",$F28*$D$7)</f>
        <v>0</v>
      </c>
      <c r="H28" s="28" cm="1">
        <f t="array" ref="H28">IF($E28="","",$T28+IF(AND($V$6&gt;=$D$8,COUNT($E$11:$E28)=$V$7+1),$D$8,0))</f>
        <v>0</v>
      </c>
      <c r="I28" s="29" cm="1">
        <f t="array" ref="I28">IF($D28="","",IF(ISTEXT($D28),LEN($D28)-LEN(SUBSTITUTE($D28,":","")),-1))</f>
        <v>2</v>
      </c>
      <c r="J28" s="29" cm="1">
        <f t="array" ref="J28">_xlfn.IFERROR(FIND(":",$D28),0)</f>
        <v>3</v>
      </c>
      <c r="K28" s="29" cm="1">
        <f t="array" ref="K28">_xlfn.IFERROR(FIND(":",$D28,$J28+1),0)</f>
        <v>6</v>
      </c>
      <c r="L28" t="str" s="30" cm="1">
        <f t="array" ref="L28">IF($D28="","",IF($I28=2,MID($D28,$K28+1,10),IF($I28=1,MID($D28,$J28+1,10),IF($I28=0,$D28,""))))</f>
        <v>00.3</v>
      </c>
      <c r="M28" s="29" cm="1">
        <f t="array" ref="M28">IF($L28="",0,_xlfn.IFERROR(FIND(".",SUBSTITUTE($L28,",",".")),0))</f>
        <v>3</v>
      </c>
      <c r="N28" s="27" cm="1">
        <f t="array" ref="N28">IF($E28="",10^9,$E28)</f>
        <v>3360.3</v>
      </c>
      <c r="O28" s="27" cm="1">
        <f t="array" ref="O28">IF($E28="","",SUM($E$11:$E28))</f>
        <v>52444.7</v>
      </c>
      <c r="P28" s="27" cm="1">
        <f t="array" ref="P28">IF($E28="","",($D$6/$D$7+$O28)/COUNT($E$11:$E28))</f>
        <v>2925.261111111110</v>
      </c>
      <c r="Q28" s="29" cm="1">
        <f t="array" ref="Q28">IF($E28="",0,IF(AND($E28&lt;$P28,OR($E29="",$P28&lt;=$E29)),1,0))</f>
        <v>0</v>
      </c>
      <c r="R28" s="27" cm="1">
        <f t="array" ref="R28">IF($V$4=0,"",ROUND($V$4,1)-10+(28-11)*0.1)</f>
        <v>2514.8</v>
      </c>
      <c r="S28" s="28">
        <v>19000</v>
      </c>
      <c r="T28" s="28" cm="1">
        <f t="array" ref="T28">IF($E28="","",ROUND($G28/$D$8,0)*$D$8)</f>
        <v>0</v>
      </c>
      <c r="U28" s="14"/>
      <c r="V28" s="8"/>
    </row>
    <row r="29" ht="17" customHeight="1">
      <c r="A29" s="34" cm="1">
        <f t="array" ref="A29">A28+1</f>
        <v>19</v>
      </c>
      <c r="B29" s="34">
        <v>4</v>
      </c>
      <c r="C29" t="s" s="35">
        <v>95</v>
      </c>
      <c r="D29" t="s" s="36">
        <v>96</v>
      </c>
      <c r="E29" s="27" cm="1">
        <f t="array" ref="E29">IF($D29="","",_xlfn.IFERROR(IF($I29=-1,IF($D29&lt;0.5,$D29*86400,IF($D29&lt;100,$D29*1440,$D29)),IF($I29=2,VALUE(LEFT($D29,$J29-1))*3600+VALUE(MID($D29,$J29+1,$K29-$J29-1))*60,IF($I29=1,VALUE(LEFT($D29,$J29-1))*60,0))+IF($M29=0,VALUE($L29),VALUE(LEFT($L29,$M29-1))+VALUE(MID($L29,$M29+1,10))/10^(LEN($L29)-$M29))),""))</f>
        <v>3447.3</v>
      </c>
      <c r="F29" s="27" cm="1">
        <f t="array" ref="F29">IF($E29="","",MAX(0,$I$7-$E29))</f>
        <v>0</v>
      </c>
      <c r="G29" s="28" cm="1">
        <f t="array" ref="G29">IF($E29="","",$F29*$D$7)</f>
        <v>0</v>
      </c>
      <c r="H29" s="28" cm="1">
        <f t="array" ref="H29">IF($E29="","",$T29+IF(AND($V$6&gt;=$D$8,COUNT($E$11:$E29)=$V$7+1),$D$8,0))</f>
        <v>0</v>
      </c>
      <c r="I29" s="29" cm="1">
        <f t="array" ref="I29">IF($D29="","",IF(ISTEXT($D29),LEN($D29)-LEN(SUBSTITUTE($D29,":","")),-1))</f>
        <v>2</v>
      </c>
      <c r="J29" s="29" cm="1">
        <f t="array" ref="J29">_xlfn.IFERROR(FIND(":",$D29),0)</f>
        <v>3</v>
      </c>
      <c r="K29" s="29" cm="1">
        <f t="array" ref="K29">_xlfn.IFERROR(FIND(":",$D29,$J29+1),0)</f>
        <v>6</v>
      </c>
      <c r="L29" t="str" s="30" cm="1">
        <f t="array" ref="L29">IF($D29="","",IF($I29=2,MID($D29,$K29+1,10),IF($I29=1,MID($D29,$J29+1,10),IF($I29=0,$D29,""))))</f>
        <v>27.3</v>
      </c>
      <c r="M29" s="29" cm="1">
        <f t="array" ref="M29">IF($L29="",0,_xlfn.IFERROR(FIND(".",SUBSTITUTE($L29,",",".")),0))</f>
        <v>3</v>
      </c>
      <c r="N29" s="27" cm="1">
        <f t="array" ref="N29">IF($E29="",10^9,$E29)</f>
        <v>3447.3</v>
      </c>
      <c r="O29" s="27" cm="1">
        <f t="array" ref="O29">IF($E29="","",SUM($E$11:$E29))</f>
        <v>55892</v>
      </c>
      <c r="P29" s="27" cm="1">
        <f t="array" ref="P29">IF($E29="","",($D$6/$D$7+$O29)/COUNT($E$11:$E29))</f>
        <v>2952.736842105260</v>
      </c>
      <c r="Q29" s="29" cm="1">
        <f t="array" ref="Q29">IF($E29="",0,IF(AND($E29&lt;$P29,OR($E30="",$P29&lt;=$E30)),1,0))</f>
        <v>0</v>
      </c>
      <c r="R29" s="27" cm="1">
        <f t="array" ref="R29">IF($V$4=0,"",ROUND($V$4,1)-10+(29-11)*0.1)</f>
        <v>2514.9</v>
      </c>
      <c r="S29" s="28">
        <v>19000</v>
      </c>
      <c r="T29" s="28" cm="1">
        <f t="array" ref="T29">IF($E29="","",ROUND($G29/$D$8,0)*$D$8)</f>
        <v>0</v>
      </c>
      <c r="U29" s="14"/>
      <c r="V29" s="8"/>
    </row>
    <row r="30" ht="17" customHeight="1">
      <c r="A30" s="34" cm="1">
        <f t="array" ref="A30">A29+1</f>
        <v>20</v>
      </c>
      <c r="B30" s="31">
        <v>16</v>
      </c>
      <c r="C30" t="s" s="32">
        <v>98</v>
      </c>
      <c r="D30" t="s" s="33">
        <v>99</v>
      </c>
      <c r="E30" s="27" cm="1">
        <f t="array" ref="E30">IF($D30="","",_xlfn.IFERROR(IF($I30=-1,IF($D30&lt;0.5,$D30*86400,IF($D30&lt;100,$D30*1440,$D30)),IF($I30=2,VALUE(LEFT($D30,$J30-1))*3600+VALUE(MID($D30,$J30+1,$K30-$J30-1))*60,IF($I30=1,VALUE(LEFT($D30,$J30-1))*60,0))+IF($M30=0,VALUE($L30),VALUE(LEFT($L30,$M30-1))+VALUE(MID($L30,$M30+1,10))/10^(LEN($L30)-$M30))),""))</f>
        <v>3719.3</v>
      </c>
      <c r="F30" s="27" cm="1">
        <f t="array" ref="F30">IF($E30="","",MAX(0,$I$7-$E30))</f>
        <v>0</v>
      </c>
      <c r="G30" s="28" cm="1">
        <f t="array" ref="G30">IF($E30="","",$F30*$D$7)</f>
        <v>0</v>
      </c>
      <c r="H30" s="28" cm="1">
        <f t="array" ref="H30">IF($E30="","",$T30+IF(AND($V$6&gt;=$D$8,COUNT($E$11:$E30)=$V$7+1),$D$8,0))</f>
        <v>0</v>
      </c>
      <c r="I30" s="29" cm="1">
        <f t="array" ref="I30">IF($D30="","",IF(ISTEXT($D30),LEN($D30)-LEN(SUBSTITUTE($D30,":","")),-1))</f>
        <v>2</v>
      </c>
      <c r="J30" s="29" cm="1">
        <f t="array" ref="J30">_xlfn.IFERROR(FIND(":",$D30),0)</f>
        <v>3</v>
      </c>
      <c r="K30" s="29" cm="1">
        <f t="array" ref="K30">_xlfn.IFERROR(FIND(":",$D30,$J30+1),0)</f>
        <v>6</v>
      </c>
      <c r="L30" t="str" s="30" cm="1">
        <f t="array" ref="L30">IF($D30="","",IF($I30=2,MID($D30,$K30+1,10),IF($I30=1,MID($D30,$J30+1,10),IF($I30=0,$D30,""))))</f>
        <v>59.3</v>
      </c>
      <c r="M30" s="29" cm="1">
        <f t="array" ref="M30">IF($L30="",0,_xlfn.IFERROR(FIND(".",SUBSTITUTE($L30,",",".")),0))</f>
        <v>3</v>
      </c>
      <c r="N30" s="27" cm="1">
        <f t="array" ref="N30">IF($E30="",10^9,$E30)</f>
        <v>3719.3</v>
      </c>
      <c r="O30" s="27" cm="1">
        <f t="array" ref="O30">IF($E30="","",SUM($E$11:$E30))</f>
        <v>59611.3</v>
      </c>
      <c r="P30" s="27" cm="1">
        <f t="array" ref="P30">IF($E30="","",($D$6/$D$7+$O30)/COUNT($E$11:$E30))</f>
        <v>2991.065</v>
      </c>
      <c r="Q30" s="29" cm="1">
        <f t="array" ref="Q30">IF($E30="",0,IF(AND($E30&lt;$P30,OR($E31="",$P30&lt;=$E31)),1,0))</f>
        <v>0</v>
      </c>
      <c r="R30" s="27" cm="1">
        <f t="array" ref="R30">IF($V$4=0,"",ROUND($V$4,1)-10+(30-11)*0.1)</f>
        <v>2515</v>
      </c>
      <c r="S30" s="28">
        <v>19000</v>
      </c>
      <c r="T30" s="28" cm="1">
        <f t="array" ref="T30">IF($E30="","",ROUND($G30/$D$8,0)*$D$8)</f>
        <v>0</v>
      </c>
      <c r="U30" s="14"/>
      <c r="V30" s="8"/>
    </row>
    <row r="31" ht="17" customHeight="1">
      <c r="A31" s="34" cm="1">
        <f t="array" ref="A31">A30+1</f>
        <v>21</v>
      </c>
      <c r="B31" s="34">
        <v>15</v>
      </c>
      <c r="C31" t="s" s="35">
        <v>101</v>
      </c>
      <c r="D31" t="s" s="36">
        <v>102</v>
      </c>
      <c r="E31" s="27" cm="1">
        <f t="array" ref="E31">IF($D31="","",_xlfn.IFERROR(IF($I31=-1,IF($D31&lt;0.5,$D31*86400,IF($D31&lt;100,$D31*1440,$D31)),IF($I31=2,VALUE(LEFT($D31,$J31-1))*3600+VALUE(MID($D31,$J31+1,$K31-$J31-1))*60,IF($I31=1,VALUE(LEFT($D31,$J31-1))*60,0))+IF($M31=0,VALUE($L31),VALUE(LEFT($L31,$M31-1))+VALUE(MID($L31,$M31+1,10))/10^(LEN($L31)-$M31))),""))</f>
        <v>3750.3</v>
      </c>
      <c r="F31" s="27" cm="1">
        <f t="array" ref="F31">IF($E31="","",MAX(0,$I$7-$E31))</f>
        <v>0</v>
      </c>
      <c r="G31" s="28" cm="1">
        <f t="array" ref="G31">IF($E31="","",$F31*$D$7)</f>
        <v>0</v>
      </c>
      <c r="H31" s="28" cm="1">
        <f t="array" ref="H31">IF($E31="","",$T31+IF(AND($V$6&gt;=$D$8,COUNT($E$11:$E31)=$V$7+1),$D$8,0))</f>
        <v>0</v>
      </c>
      <c r="I31" s="29" cm="1">
        <f t="array" ref="I31">IF($D31="","",IF(ISTEXT($D31),LEN($D31)-LEN(SUBSTITUTE($D31,":","")),-1))</f>
        <v>2</v>
      </c>
      <c r="J31" s="29" cm="1">
        <f t="array" ref="J31">_xlfn.IFERROR(FIND(":",$D31),0)</f>
        <v>3</v>
      </c>
      <c r="K31" s="29" cm="1">
        <f t="array" ref="K31">_xlfn.IFERROR(FIND(":",$D31,$J31+1),0)</f>
        <v>6</v>
      </c>
      <c r="L31" t="str" s="30" cm="1">
        <f t="array" ref="L31">IF($D31="","",IF($I31=2,MID($D31,$K31+1,10),IF($I31=1,MID($D31,$J31+1,10),IF($I31=0,$D31,""))))</f>
        <v>30.3</v>
      </c>
      <c r="M31" s="29" cm="1">
        <f t="array" ref="M31">IF($L31="",0,_xlfn.IFERROR(FIND(".",SUBSTITUTE($L31,",",".")),0))</f>
        <v>3</v>
      </c>
      <c r="N31" s="27" cm="1">
        <f t="array" ref="N31">IF($E31="",10^9,$E31)</f>
        <v>3750.3</v>
      </c>
      <c r="O31" s="27" cm="1">
        <f t="array" ref="O31">IF($E31="","",SUM($E$11:$E31))</f>
        <v>63361.6</v>
      </c>
      <c r="P31" s="27" cm="1">
        <f t="array" ref="P31">IF($E31="","",($D$6/$D$7+$O31)/COUNT($E$11:$E31))</f>
        <v>3027.219047619050</v>
      </c>
      <c r="Q31" s="29" cm="1">
        <f t="array" ref="Q31">IF($E31="",0,IF(AND($E31&lt;$P31,OR($E32="",$P31&lt;=$E32)),1,0))</f>
        <v>0</v>
      </c>
      <c r="R31" s="27" cm="1">
        <f t="array" ref="R31">IF($V$4=0,"",ROUND($V$4,1)-10+(31-11)*0.1)</f>
        <v>2515.1</v>
      </c>
      <c r="S31" s="28">
        <v>19000</v>
      </c>
      <c r="T31" s="28" cm="1">
        <f t="array" ref="T31">IF($E31="","",ROUND($G31/$D$8,0)*$D$8)</f>
        <v>0</v>
      </c>
      <c r="U31" s="14"/>
      <c r="V31" s="8"/>
    </row>
    <row r="32" ht="13.55" customHeight="1">
      <c r="A32" s="37"/>
      <c r="B32" s="10"/>
      <c r="C32" s="10"/>
      <c r="D32" s="38"/>
      <c r="E32" t="str" s="30" cm="1">
        <f t="array" ref="E32">IF($D32="","",_xlfn.IFERROR(IF($I32=-1,IF($D32&lt;0.5,$D32*86400,IF($D32&lt;100,$D32*1440,$D32)),IF($I32=2,VALUE(LEFT($D32,$J32-1))*3600+VALUE(MID($D32,$J32+1,$K32-$J32-1))*60,IF($I32=1,VALUE(LEFT($D32,$J32-1))*60,0))+IF($M32=0,VALUE($L32),VALUE(LEFT($L32,$M32-1))+VALUE(MID($L32,$M32+1,10))/10^(LEN($L32)-$M32))),""))</f>
      </c>
      <c r="F32" t="str" s="30" cm="1">
        <f t="array" ref="F32">IF($E32="","",MAX(0,$I$7-$E32))</f>
      </c>
      <c r="G32" t="str" s="30" cm="1">
        <f t="array" ref="G32">IF($E32="","",$F32*$D$7)</f>
      </c>
      <c r="H32" t="str" s="30" cm="1">
        <f t="array" ref="H32">IF($E32="","",$T32+IF(AND($V$6&gt;=$D$8,COUNT($E$11:$E32)=$V$7+1),$D$8,0))</f>
      </c>
      <c r="I32" t="str" s="30" cm="1">
        <f t="array" ref="I32">IF($D32="","",IF(ISTEXT($D32),LEN($D32)-LEN(SUBSTITUTE($D32,":","")),-1))</f>
      </c>
      <c r="J32" s="29" cm="1">
        <f t="array" ref="J32">_xlfn.IFERROR(FIND(":",$D32),0)</f>
        <v>0</v>
      </c>
      <c r="K32" s="29" cm="1">
        <f t="array" ref="K32">_xlfn.IFERROR(FIND(":",$D32,$J32+1),0)</f>
        <v>0</v>
      </c>
      <c r="L32" t="str" s="30" cm="1">
        <f t="array" ref="L32">IF($D32="","",IF($I32=2,MID($D32,$K32+1,10),IF($I32=1,MID($D32,$J32+1,10),IF($I32=0,$D32,""))))</f>
      </c>
      <c r="M32" s="29" cm="1">
        <f t="array" ref="M32">IF($L32="",0,_xlfn.IFERROR(FIND(".",SUBSTITUTE($L32,",",".")),0))</f>
        <v>0</v>
      </c>
      <c r="N32" s="29" cm="1">
        <f t="array" ref="N32">IF($E32="",10^9,$E32)</f>
        <v>1000000000</v>
      </c>
      <c r="O32" t="str" s="30" cm="1">
        <f t="array" ref="O32">IF($E32="","",SUM($E$11:$E32))</f>
      </c>
      <c r="P32" t="str" s="30" cm="1">
        <f t="array" ref="P32">IF($E32="","",($D$6/$D$7+$O32)/COUNT($E$11:$E32))</f>
      </c>
      <c r="Q32" s="29" cm="1">
        <f t="array" ref="Q32">IF($E32="",0,IF(AND($E32&lt;$P32,OR($E33="",$P32&lt;=$E33)),1,0))</f>
        <v>0</v>
      </c>
      <c r="R32" s="27" cm="1">
        <f t="array" ref="R32">IF($V$4=0,"",ROUND($V$4,1)-10+(32-11)*0.1)</f>
        <v>2515.2</v>
      </c>
      <c r="S32" s="28">
        <v>19000</v>
      </c>
      <c r="T32" t="str" s="30" cm="1">
        <f t="array" ref="T32">IF($E32="","",ROUND($G32/$D$8,0)*$D$8)</f>
      </c>
      <c r="U32" s="14"/>
      <c r="V32" s="8"/>
    </row>
    <row r="33" ht="13.55" customHeight="1">
      <c r="A33" t="str" s="30" cm="1">
        <f t="array" ref="A33">IF($E33="","",COUNT($E$11:$E33))</f>
      </c>
      <c r="B33" s="39"/>
      <c r="C33" s="39"/>
      <c r="D33" s="39"/>
      <c r="E33" t="str" s="30" cm="1">
        <f t="array" ref="E33">IF($D33="","",_xlfn.IFERROR(IF($I33=-1,IF($D33&lt;0.5,$D33*86400,IF($D33&lt;100,$D33*1440,$D33)),IF($I33=2,VALUE(LEFT($D33,$J33-1))*3600+VALUE(MID($D33,$J33+1,$K33-$J33-1))*60,IF($I33=1,VALUE(LEFT($D33,$J33-1))*60,0))+IF($M33=0,VALUE($L33),VALUE(LEFT($L33,$M33-1))+VALUE(MID($L33,$M33+1,10))/10^(LEN($L33)-$M33))),""))</f>
      </c>
      <c r="F33" t="str" s="30" cm="1">
        <f t="array" ref="F33">IF($E33="","",MAX(0,$I$7-$E33))</f>
      </c>
      <c r="G33" t="str" s="30" cm="1">
        <f t="array" ref="G33">IF($E33="","",$F33*$D$7)</f>
      </c>
      <c r="H33" t="str" s="30" cm="1">
        <f t="array" ref="H33">IF($E33="","",$T33+IF(AND($V$6&gt;=$D$8,COUNT($E$11:$E33)=$V$7+1),$D$8,0))</f>
      </c>
      <c r="I33" t="str" s="30" cm="1">
        <f t="array" ref="I33">IF($D33="","",IF(ISTEXT($D33),LEN($D33)-LEN(SUBSTITUTE($D33,":","")),-1))</f>
      </c>
      <c r="J33" s="29" cm="1">
        <f t="array" ref="J33">_xlfn.IFERROR(FIND(":",$D33),0)</f>
        <v>0</v>
      </c>
      <c r="K33" s="29" cm="1">
        <f t="array" ref="K33">_xlfn.IFERROR(FIND(":",$D33,$J33+1),0)</f>
        <v>0</v>
      </c>
      <c r="L33" t="str" s="30" cm="1">
        <f t="array" ref="L33">IF($D33="","",IF($I33=2,MID($D33,$K33+1,10),IF($I33=1,MID($D33,$J33+1,10),IF($I33=0,$D33,""))))</f>
      </c>
      <c r="M33" s="29" cm="1">
        <f t="array" ref="M33">IF($L33="",0,_xlfn.IFERROR(FIND(".",SUBSTITUTE($L33,",",".")),0))</f>
        <v>0</v>
      </c>
      <c r="N33" s="29" cm="1">
        <f t="array" ref="N33">IF($E33="",10^9,$E33)</f>
        <v>1000000000</v>
      </c>
      <c r="O33" t="str" s="30" cm="1">
        <f t="array" ref="O33">IF($E33="","",SUM($E$11:$E33))</f>
      </c>
      <c r="P33" t="str" s="30" cm="1">
        <f t="array" ref="P33">IF($E33="","",($D$6/$D$7+$O33)/COUNT($E$11:$E33))</f>
      </c>
      <c r="Q33" s="29" cm="1">
        <f t="array" ref="Q33">IF($E33="",0,IF(AND($E33&lt;$P33,OR($E34="",$P33&lt;=$E34)),1,0))</f>
        <v>0</v>
      </c>
      <c r="R33" s="27" cm="1">
        <f t="array" ref="R33">IF($V$4=0,"",ROUND($V$4,1)-10+(33-11)*0.1)</f>
        <v>2515.3</v>
      </c>
      <c r="S33" s="28">
        <v>19000</v>
      </c>
      <c r="T33" t="str" s="30" cm="1">
        <f t="array" ref="T33">IF($E33="","",ROUND($G33/$D$8,0)*$D$8)</f>
      </c>
      <c r="U33" s="14"/>
      <c r="V33" s="8"/>
    </row>
    <row r="34" ht="13.55" customHeight="1">
      <c r="A34" t="str" s="30" cm="1">
        <f t="array" ref="A34">IF($E34="","",COUNT($E$11:$E34))</f>
      </c>
      <c r="B34" s="39"/>
      <c r="C34" s="39"/>
      <c r="D34" s="39"/>
      <c r="E34" t="str" s="30" cm="1">
        <f t="array" ref="E34">IF($D34="","",_xlfn.IFERROR(IF($I34=-1,IF($D34&lt;0.5,$D34*86400,IF($D34&lt;100,$D34*1440,$D34)),IF($I34=2,VALUE(LEFT($D34,$J34-1))*3600+VALUE(MID($D34,$J34+1,$K34-$J34-1))*60,IF($I34=1,VALUE(LEFT($D34,$J34-1))*60,0))+IF($M34=0,VALUE($L34),VALUE(LEFT($L34,$M34-1))+VALUE(MID($L34,$M34+1,10))/10^(LEN($L34)-$M34))),""))</f>
      </c>
      <c r="F34" t="str" s="30" cm="1">
        <f t="array" ref="F34">IF($E34="","",MAX(0,$I$7-$E34))</f>
      </c>
      <c r="G34" t="str" s="30" cm="1">
        <f t="array" ref="G34">IF($E34="","",$F34*$D$7)</f>
      </c>
      <c r="H34" t="str" s="30" cm="1">
        <f t="array" ref="H34">IF($E34="","",$T34+IF(AND($V$6&gt;=$D$8,COUNT($E$11:$E34)=$V$7+1),$D$8,0))</f>
      </c>
      <c r="I34" t="str" s="30" cm="1">
        <f t="array" ref="I34">IF($D34="","",IF(ISTEXT($D34),LEN($D34)-LEN(SUBSTITUTE($D34,":","")),-1))</f>
      </c>
      <c r="J34" s="29" cm="1">
        <f t="array" ref="J34">_xlfn.IFERROR(FIND(":",$D34),0)</f>
        <v>0</v>
      </c>
      <c r="K34" s="29" cm="1">
        <f t="array" ref="K34">_xlfn.IFERROR(FIND(":",$D34,$J34+1),0)</f>
        <v>0</v>
      </c>
      <c r="L34" t="str" s="30" cm="1">
        <f t="array" ref="L34">IF($D34="","",IF($I34=2,MID($D34,$K34+1,10),IF($I34=1,MID($D34,$J34+1,10),IF($I34=0,$D34,""))))</f>
      </c>
      <c r="M34" s="29" cm="1">
        <f t="array" ref="M34">IF($L34="",0,_xlfn.IFERROR(FIND(".",SUBSTITUTE($L34,",",".")),0))</f>
        <v>0</v>
      </c>
      <c r="N34" s="29" cm="1">
        <f t="array" ref="N34">IF($E34="",10^9,$E34)</f>
        <v>1000000000</v>
      </c>
      <c r="O34" t="str" s="30" cm="1">
        <f t="array" ref="O34">IF($E34="","",SUM($E$11:$E34))</f>
      </c>
      <c r="P34" t="str" s="30" cm="1">
        <f t="array" ref="P34">IF($E34="","",($D$6/$D$7+$O34)/COUNT($E$11:$E34))</f>
      </c>
      <c r="Q34" s="29" cm="1">
        <f t="array" ref="Q34">IF($E34="",0,IF(AND($E34&lt;$P34,OR($E35="",$P34&lt;=$E35)),1,0))</f>
        <v>0</v>
      </c>
      <c r="R34" s="27" cm="1">
        <f t="array" ref="R34">IF($V$4=0,"",ROUND($V$4,1)-10+(34-11)*0.1)</f>
        <v>2515.4</v>
      </c>
      <c r="S34" s="28">
        <v>19000</v>
      </c>
      <c r="T34" t="str" s="30" cm="1">
        <f t="array" ref="T34">IF($E34="","",ROUND($G34/$D$8,0)*$D$8)</f>
      </c>
      <c r="U34" s="14"/>
      <c r="V34" s="8"/>
    </row>
    <row r="35" ht="13.55" customHeight="1">
      <c r="A35" t="str" s="30" cm="1">
        <f t="array" ref="A35">IF($E35="","",COUNT($E$11:$E35))</f>
      </c>
      <c r="B35" s="39"/>
      <c r="C35" s="39"/>
      <c r="D35" s="39"/>
      <c r="E35" t="str" s="30" cm="1">
        <f t="array" ref="E35">IF($D35="","",_xlfn.IFERROR(IF($I35=-1,IF($D35&lt;0.5,$D35*86400,IF($D35&lt;100,$D35*1440,$D35)),IF($I35=2,VALUE(LEFT($D35,$J35-1))*3600+VALUE(MID($D35,$J35+1,$K35-$J35-1))*60,IF($I35=1,VALUE(LEFT($D35,$J35-1))*60,0))+IF($M35=0,VALUE($L35),VALUE(LEFT($L35,$M35-1))+VALUE(MID($L35,$M35+1,10))/10^(LEN($L35)-$M35))),""))</f>
      </c>
      <c r="F35" t="str" s="30" cm="1">
        <f t="array" ref="F35">IF($E35="","",MAX(0,$I$7-$E35))</f>
      </c>
      <c r="G35" t="str" s="30" cm="1">
        <f t="array" ref="G35">IF($E35="","",$F35*$D$7)</f>
      </c>
      <c r="H35" t="str" s="30" cm="1">
        <f t="array" ref="H35">IF($E35="","",$T35+IF(AND($V$6&gt;=$D$8,COUNT($E$11:$E35)=$V$7+1),$D$8,0))</f>
      </c>
      <c r="I35" t="str" s="30" cm="1">
        <f t="array" ref="I35">IF($D35="","",IF(ISTEXT($D35),LEN($D35)-LEN(SUBSTITUTE($D35,":","")),-1))</f>
      </c>
      <c r="J35" s="29" cm="1">
        <f t="array" ref="J35">_xlfn.IFERROR(FIND(":",$D35),0)</f>
        <v>0</v>
      </c>
      <c r="K35" s="29" cm="1">
        <f t="array" ref="K35">_xlfn.IFERROR(FIND(":",$D35,$J35+1),0)</f>
        <v>0</v>
      </c>
      <c r="L35" t="str" s="30" cm="1">
        <f t="array" ref="L35">IF($D35="","",IF($I35=2,MID($D35,$K35+1,10),IF($I35=1,MID($D35,$J35+1,10),IF($I35=0,$D35,""))))</f>
      </c>
      <c r="M35" s="29" cm="1">
        <f t="array" ref="M35">IF($L35="",0,_xlfn.IFERROR(FIND(".",SUBSTITUTE($L35,",",".")),0))</f>
        <v>0</v>
      </c>
      <c r="N35" s="29" cm="1">
        <f t="array" ref="N35">IF($E35="",10^9,$E35)</f>
        <v>1000000000</v>
      </c>
      <c r="O35" t="str" s="30" cm="1">
        <f t="array" ref="O35">IF($E35="","",SUM($E$11:$E35))</f>
      </c>
      <c r="P35" t="str" s="30" cm="1">
        <f t="array" ref="P35">IF($E35="","",($D$6/$D$7+$O35)/COUNT($E$11:$E35))</f>
      </c>
      <c r="Q35" s="29" cm="1">
        <f t="array" ref="Q35">IF($E35="",0,IF(AND($E35&lt;$P35,OR($E36="",$P35&lt;=$E36)),1,0))</f>
        <v>0</v>
      </c>
      <c r="R35" s="27" cm="1">
        <f t="array" ref="R35">IF($V$4=0,"",ROUND($V$4,1)-10+(35-11)*0.1)</f>
        <v>2515.5</v>
      </c>
      <c r="S35" s="28">
        <v>19000</v>
      </c>
      <c r="T35" t="str" s="30" cm="1">
        <f t="array" ref="T35">IF($E35="","",ROUND($G35/$D$8,0)*$D$8)</f>
      </c>
      <c r="U35" s="14"/>
      <c r="V35" s="8"/>
    </row>
    <row r="36" ht="13.55" customHeight="1">
      <c r="A36" t="str" s="30" cm="1">
        <f t="array" ref="A36">IF($E36="","",COUNT($E$11:$E36))</f>
      </c>
      <c r="B36" s="39"/>
      <c r="C36" s="39"/>
      <c r="D36" s="39"/>
      <c r="E36" t="str" s="30" cm="1">
        <f t="array" ref="E36">IF($D36="","",_xlfn.IFERROR(IF($I36=-1,IF($D36&lt;0.5,$D36*86400,IF($D36&lt;100,$D36*1440,$D36)),IF($I36=2,VALUE(LEFT($D36,$J36-1))*3600+VALUE(MID($D36,$J36+1,$K36-$J36-1))*60,IF($I36=1,VALUE(LEFT($D36,$J36-1))*60,0))+IF($M36=0,VALUE($L36),VALUE(LEFT($L36,$M36-1))+VALUE(MID($L36,$M36+1,10))/10^(LEN($L36)-$M36))),""))</f>
      </c>
      <c r="F36" t="str" s="30" cm="1">
        <f t="array" ref="F36">IF($E36="","",MAX(0,$I$7-$E36))</f>
      </c>
      <c r="G36" t="str" s="30" cm="1">
        <f t="array" ref="G36">IF($E36="","",$F36*$D$7)</f>
      </c>
      <c r="H36" t="str" s="30" cm="1">
        <f t="array" ref="H36">IF($E36="","",$T36+IF(AND($V$6&gt;=$D$8,COUNT($E$11:$E36)=$V$7+1),$D$8,0))</f>
      </c>
      <c r="I36" t="str" s="30" cm="1">
        <f t="array" ref="I36">IF($D36="","",IF(ISTEXT($D36),LEN($D36)-LEN(SUBSTITUTE($D36,":","")),-1))</f>
      </c>
      <c r="J36" s="29" cm="1">
        <f t="array" ref="J36">_xlfn.IFERROR(FIND(":",$D36),0)</f>
        <v>0</v>
      </c>
      <c r="K36" s="29" cm="1">
        <f t="array" ref="K36">_xlfn.IFERROR(FIND(":",$D36,$J36+1),0)</f>
        <v>0</v>
      </c>
      <c r="L36" t="str" s="30" cm="1">
        <f t="array" ref="L36">IF($D36="","",IF($I36=2,MID($D36,$K36+1,10),IF($I36=1,MID($D36,$J36+1,10),IF($I36=0,$D36,""))))</f>
      </c>
      <c r="M36" s="29" cm="1">
        <f t="array" ref="M36">IF($L36="",0,_xlfn.IFERROR(FIND(".",SUBSTITUTE($L36,",",".")),0))</f>
        <v>0</v>
      </c>
      <c r="N36" s="29" cm="1">
        <f t="array" ref="N36">IF($E36="",10^9,$E36)</f>
        <v>1000000000</v>
      </c>
      <c r="O36" t="str" s="30" cm="1">
        <f t="array" ref="O36">IF($E36="","",SUM($E$11:$E36))</f>
      </c>
      <c r="P36" t="str" s="30" cm="1">
        <f t="array" ref="P36">IF($E36="","",($D$6/$D$7+$O36)/COUNT($E$11:$E36))</f>
      </c>
      <c r="Q36" s="29" cm="1">
        <f t="array" ref="Q36">IF($E36="",0,IF(AND($E36&lt;$P36,OR($E37="",$P36&lt;=$E37)),1,0))</f>
        <v>0</v>
      </c>
      <c r="R36" s="27" cm="1">
        <f t="array" ref="R36">IF($V$4=0,"",ROUND($V$4,1)-10+(36-11)*0.1)</f>
        <v>2515.6</v>
      </c>
      <c r="S36" s="28">
        <v>19000</v>
      </c>
      <c r="T36" t="str" s="30" cm="1">
        <f t="array" ref="T36">IF($E36="","",ROUND($G36/$D$8,0)*$D$8)</f>
      </c>
      <c r="U36" s="14"/>
      <c r="V36" s="8"/>
    </row>
    <row r="37" ht="13.55" customHeight="1">
      <c r="A37" t="str" s="30" cm="1">
        <f t="array" ref="A37">IF($E37="","",COUNT($E$11:$E37))</f>
      </c>
      <c r="B37" s="39"/>
      <c r="C37" s="39"/>
      <c r="D37" s="39"/>
      <c r="E37" t="str" s="30" cm="1">
        <f t="array" ref="E37">IF($D37="","",_xlfn.IFERROR(IF($I37=-1,IF($D37&lt;0.5,$D37*86400,IF($D37&lt;100,$D37*1440,$D37)),IF($I37=2,VALUE(LEFT($D37,$J37-1))*3600+VALUE(MID($D37,$J37+1,$K37-$J37-1))*60,IF($I37=1,VALUE(LEFT($D37,$J37-1))*60,0))+IF($M37=0,VALUE($L37),VALUE(LEFT($L37,$M37-1))+VALUE(MID($L37,$M37+1,10))/10^(LEN($L37)-$M37))),""))</f>
      </c>
      <c r="F37" t="str" s="30" cm="1">
        <f t="array" ref="F37">IF($E37="","",MAX(0,$I$7-$E37))</f>
      </c>
      <c r="G37" t="str" s="30" cm="1">
        <f t="array" ref="G37">IF($E37="","",$F37*$D$7)</f>
      </c>
      <c r="H37" t="str" s="30" cm="1">
        <f t="array" ref="H37">IF($E37="","",$T37+IF(AND($V$6&gt;=$D$8,COUNT($E$11:$E37)=$V$7+1),$D$8,0))</f>
      </c>
      <c r="I37" t="str" s="30" cm="1">
        <f t="array" ref="I37">IF($D37="","",IF(ISTEXT($D37),LEN($D37)-LEN(SUBSTITUTE($D37,":","")),-1))</f>
      </c>
      <c r="J37" s="29" cm="1">
        <f t="array" ref="J37">_xlfn.IFERROR(FIND(":",$D37),0)</f>
        <v>0</v>
      </c>
      <c r="K37" s="29" cm="1">
        <f t="array" ref="K37">_xlfn.IFERROR(FIND(":",$D37,$J37+1),0)</f>
        <v>0</v>
      </c>
      <c r="L37" t="str" s="30" cm="1">
        <f t="array" ref="L37">IF($D37="","",IF($I37=2,MID($D37,$K37+1,10),IF($I37=1,MID($D37,$J37+1,10),IF($I37=0,$D37,""))))</f>
      </c>
      <c r="M37" s="29" cm="1">
        <f t="array" ref="M37">IF($L37="",0,_xlfn.IFERROR(FIND(".",SUBSTITUTE($L37,",",".")),0))</f>
        <v>0</v>
      </c>
      <c r="N37" s="29" cm="1">
        <f t="array" ref="N37">IF($E37="",10^9,$E37)</f>
        <v>1000000000</v>
      </c>
      <c r="O37" t="str" s="30" cm="1">
        <f t="array" ref="O37">IF($E37="","",SUM($E$11:$E37))</f>
      </c>
      <c r="P37" t="str" s="30" cm="1">
        <f t="array" ref="P37">IF($E37="","",($D$6/$D$7+$O37)/COUNT($E$11:$E37))</f>
      </c>
      <c r="Q37" s="29" cm="1">
        <f t="array" ref="Q37">IF($E37="",0,IF(AND($E37&lt;$P37,OR($E38="",$P37&lt;=$E38)),1,0))</f>
        <v>0</v>
      </c>
      <c r="R37" s="27" cm="1">
        <f t="array" ref="R37">IF($V$4=0,"",ROUND($V$4,1)-10+(37-11)*0.1)</f>
        <v>2515.7</v>
      </c>
      <c r="S37" s="28">
        <v>19000</v>
      </c>
      <c r="T37" t="str" s="30" cm="1">
        <f t="array" ref="T37">IF($E37="","",ROUND($G37/$D$8,0)*$D$8)</f>
      </c>
      <c r="U37" s="14"/>
      <c r="V37" s="8"/>
    </row>
    <row r="38" ht="13.55" customHeight="1">
      <c r="A38" t="str" s="30" cm="1">
        <f t="array" ref="A38">IF($E38="","",COUNT($E$11:$E38))</f>
      </c>
      <c r="B38" s="39"/>
      <c r="C38" s="39"/>
      <c r="D38" s="39"/>
      <c r="E38" t="str" s="30" cm="1">
        <f t="array" ref="E38">IF($D38="","",_xlfn.IFERROR(IF($I38=-1,IF($D38&lt;0.5,$D38*86400,IF($D38&lt;100,$D38*1440,$D38)),IF($I38=2,VALUE(LEFT($D38,$J38-1))*3600+VALUE(MID($D38,$J38+1,$K38-$J38-1))*60,IF($I38=1,VALUE(LEFT($D38,$J38-1))*60,0))+IF($M38=0,VALUE($L38),VALUE(LEFT($L38,$M38-1))+VALUE(MID($L38,$M38+1,10))/10^(LEN($L38)-$M38))),""))</f>
      </c>
      <c r="F38" t="str" s="30" cm="1">
        <f t="array" ref="F38">IF($E38="","",MAX(0,$I$7-$E38))</f>
      </c>
      <c r="G38" t="str" s="30" cm="1">
        <f t="array" ref="G38">IF($E38="","",$F38*$D$7)</f>
      </c>
      <c r="H38" t="str" s="30" cm="1">
        <f t="array" ref="H38">IF($E38="","",$T38+IF(AND($V$6&gt;=$D$8,COUNT($E$11:$E38)=$V$7+1),$D$8,0))</f>
      </c>
      <c r="I38" t="str" s="30" cm="1">
        <f t="array" ref="I38">IF($D38="","",IF(ISTEXT($D38),LEN($D38)-LEN(SUBSTITUTE($D38,":","")),-1))</f>
      </c>
      <c r="J38" s="29" cm="1">
        <f t="array" ref="J38">_xlfn.IFERROR(FIND(":",$D38),0)</f>
        <v>0</v>
      </c>
      <c r="K38" s="29" cm="1">
        <f t="array" ref="K38">_xlfn.IFERROR(FIND(":",$D38,$J38+1),0)</f>
        <v>0</v>
      </c>
      <c r="L38" t="str" s="30" cm="1">
        <f t="array" ref="L38">IF($D38="","",IF($I38=2,MID($D38,$K38+1,10),IF($I38=1,MID($D38,$J38+1,10),IF($I38=0,$D38,""))))</f>
      </c>
      <c r="M38" s="29" cm="1">
        <f t="array" ref="M38">IF($L38="",0,_xlfn.IFERROR(FIND(".",SUBSTITUTE($L38,",",".")),0))</f>
        <v>0</v>
      </c>
      <c r="N38" s="29" cm="1">
        <f t="array" ref="N38">IF($E38="",10^9,$E38)</f>
        <v>1000000000</v>
      </c>
      <c r="O38" t="str" s="30" cm="1">
        <f t="array" ref="O38">IF($E38="","",SUM($E$11:$E38))</f>
      </c>
      <c r="P38" t="str" s="30" cm="1">
        <f t="array" ref="P38">IF($E38="","",($D$6/$D$7+$O38)/COUNT($E$11:$E38))</f>
      </c>
      <c r="Q38" s="29" cm="1">
        <f t="array" ref="Q38">IF($E38="",0,IF(AND($E38&lt;$P38,OR($E39="",$P38&lt;=$E39)),1,0))</f>
        <v>0</v>
      </c>
      <c r="R38" s="27" cm="1">
        <f t="array" ref="R38">IF($V$4=0,"",ROUND($V$4,1)-10+(38-11)*0.1)</f>
        <v>2515.8</v>
      </c>
      <c r="S38" s="28">
        <v>19000</v>
      </c>
      <c r="T38" t="str" s="30" cm="1">
        <f t="array" ref="T38">IF($E38="","",ROUND($G38/$D$8,0)*$D$8)</f>
      </c>
      <c r="U38" s="14"/>
      <c r="V38" s="8"/>
    </row>
    <row r="39" ht="13.55" customHeight="1">
      <c r="A39" t="str" s="30" cm="1">
        <f t="array" ref="A39">IF($E39="","",COUNT($E$11:$E39))</f>
      </c>
      <c r="B39" s="39"/>
      <c r="C39" s="39"/>
      <c r="D39" s="39"/>
      <c r="E39" t="str" s="30" cm="1">
        <f t="array" ref="E39">IF($D39="","",_xlfn.IFERROR(IF($I39=-1,IF($D39&lt;0.5,$D39*86400,IF($D39&lt;100,$D39*1440,$D39)),IF($I39=2,VALUE(LEFT($D39,$J39-1))*3600+VALUE(MID($D39,$J39+1,$K39-$J39-1))*60,IF($I39=1,VALUE(LEFT($D39,$J39-1))*60,0))+IF($M39=0,VALUE($L39),VALUE(LEFT($L39,$M39-1))+VALUE(MID($L39,$M39+1,10))/10^(LEN($L39)-$M39))),""))</f>
      </c>
      <c r="F39" t="str" s="30" cm="1">
        <f t="array" ref="F39">IF($E39="","",MAX(0,$I$7-$E39))</f>
      </c>
      <c r="G39" t="str" s="30" cm="1">
        <f t="array" ref="G39">IF($E39="","",$F39*$D$7)</f>
      </c>
      <c r="H39" t="str" s="30" cm="1">
        <f t="array" ref="H39">IF($E39="","",$T39+IF(AND($V$6&gt;=$D$8,COUNT($E$11:$E39)=$V$7+1),$D$8,0))</f>
      </c>
      <c r="I39" t="str" s="30" cm="1">
        <f t="array" ref="I39">IF($D39="","",IF(ISTEXT($D39),LEN($D39)-LEN(SUBSTITUTE($D39,":","")),-1))</f>
      </c>
      <c r="J39" s="29" cm="1">
        <f t="array" ref="J39">_xlfn.IFERROR(FIND(":",$D39),0)</f>
        <v>0</v>
      </c>
      <c r="K39" s="29" cm="1">
        <f t="array" ref="K39">_xlfn.IFERROR(FIND(":",$D39,$J39+1),0)</f>
        <v>0</v>
      </c>
      <c r="L39" t="str" s="30" cm="1">
        <f t="array" ref="L39">IF($D39="","",IF($I39=2,MID($D39,$K39+1,10),IF($I39=1,MID($D39,$J39+1,10),IF($I39=0,$D39,""))))</f>
      </c>
      <c r="M39" s="29" cm="1">
        <f t="array" ref="M39">IF($L39="",0,_xlfn.IFERROR(FIND(".",SUBSTITUTE($L39,",",".")),0))</f>
        <v>0</v>
      </c>
      <c r="N39" s="29" cm="1">
        <f t="array" ref="N39">IF($E39="",10^9,$E39)</f>
        <v>1000000000</v>
      </c>
      <c r="O39" t="str" s="30" cm="1">
        <f t="array" ref="O39">IF($E39="","",SUM($E$11:$E39))</f>
      </c>
      <c r="P39" t="str" s="30" cm="1">
        <f t="array" ref="P39">IF($E39="","",($D$6/$D$7+$O39)/COUNT($E$11:$E39))</f>
      </c>
      <c r="Q39" s="29" cm="1">
        <f t="array" ref="Q39">IF($E39="",0,IF(AND($E39&lt;$P39,OR($E40="",$P39&lt;=$E40)),1,0))</f>
        <v>0</v>
      </c>
      <c r="R39" s="27" cm="1">
        <f t="array" ref="R39">IF($V$4=0,"",ROUND($V$4,1)-10+(39-11)*0.1)</f>
        <v>2515.9</v>
      </c>
      <c r="S39" s="28">
        <v>19000</v>
      </c>
      <c r="T39" t="str" s="30" cm="1">
        <f t="array" ref="T39">IF($E39="","",ROUND($G39/$D$8,0)*$D$8)</f>
      </c>
      <c r="U39" s="14"/>
      <c r="V39" s="8"/>
    </row>
    <row r="40" ht="13.55" customHeight="1">
      <c r="A40" t="str" s="30" cm="1">
        <f t="array" ref="A40">IF($E40="","",COUNT($E$11:$E40))</f>
      </c>
      <c r="B40" s="39"/>
      <c r="C40" s="39"/>
      <c r="D40" s="39"/>
      <c r="E40" t="str" s="30" cm="1">
        <f t="array" ref="E40">IF($D40="","",_xlfn.IFERROR(IF($I40=-1,IF($D40&lt;0.5,$D40*86400,IF($D40&lt;100,$D40*1440,$D40)),IF($I40=2,VALUE(LEFT($D40,$J40-1))*3600+VALUE(MID($D40,$J40+1,$K40-$J40-1))*60,IF($I40=1,VALUE(LEFT($D40,$J40-1))*60,0))+IF($M40=0,VALUE($L40),VALUE(LEFT($L40,$M40-1))+VALUE(MID($L40,$M40+1,10))/10^(LEN($L40)-$M40))),""))</f>
      </c>
      <c r="F40" t="str" s="30" cm="1">
        <f t="array" ref="F40">IF($E40="","",MAX(0,$I$7-$E40))</f>
      </c>
      <c r="G40" t="str" s="30" cm="1">
        <f t="array" ref="G40">IF($E40="","",$F40*$D$7)</f>
      </c>
      <c r="H40" t="str" s="30" cm="1">
        <f t="array" ref="H40">IF($E40="","",$T40+IF(AND($V$6&gt;=$D$8,COUNT($E$11:$E40)=$V$7+1),$D$8,0))</f>
      </c>
      <c r="I40" t="str" s="30" cm="1">
        <f t="array" ref="I40">IF($D40="","",IF(ISTEXT($D40),LEN($D40)-LEN(SUBSTITUTE($D40,":","")),-1))</f>
      </c>
      <c r="J40" s="29" cm="1">
        <f t="array" ref="J40">_xlfn.IFERROR(FIND(":",$D40),0)</f>
        <v>0</v>
      </c>
      <c r="K40" s="29" cm="1">
        <f t="array" ref="K40">_xlfn.IFERROR(FIND(":",$D40,$J40+1),0)</f>
        <v>0</v>
      </c>
      <c r="L40" t="str" s="30" cm="1">
        <f t="array" ref="L40">IF($D40="","",IF($I40=2,MID($D40,$K40+1,10),IF($I40=1,MID($D40,$J40+1,10),IF($I40=0,$D40,""))))</f>
      </c>
      <c r="M40" s="29" cm="1">
        <f t="array" ref="M40">IF($L40="",0,_xlfn.IFERROR(FIND(".",SUBSTITUTE($L40,",",".")),0))</f>
        <v>0</v>
      </c>
      <c r="N40" s="29" cm="1">
        <f t="array" ref="N40">IF($E40="",10^9,$E40)</f>
        <v>1000000000</v>
      </c>
      <c r="O40" t="str" s="30" cm="1">
        <f t="array" ref="O40">IF($E40="","",SUM($E$11:$E40))</f>
      </c>
      <c r="P40" t="str" s="30" cm="1">
        <f t="array" ref="P40">IF($E40="","",($D$6/$D$7+$O40)/COUNT($E$11:$E40))</f>
      </c>
      <c r="Q40" s="29" cm="1">
        <f t="array" ref="Q40">IF($E40="",0,IF(AND($E40&lt;$P40,OR($E41="",$P40&lt;=$E41)),1,0))</f>
        <v>0</v>
      </c>
      <c r="R40" s="27" cm="1">
        <f t="array" ref="R40">IF($V$4=0,"",ROUND($V$4,1)-10+(40-11)*0.1)</f>
        <v>2516</v>
      </c>
      <c r="S40" s="28">
        <v>19000</v>
      </c>
      <c r="T40" t="str" s="30" cm="1">
        <f t="array" ref="T40">IF($E40="","",ROUND($G40/$D$8,0)*$D$8)</f>
      </c>
      <c r="U40" s="14"/>
      <c r="V40" s="8"/>
    </row>
    <row r="41" ht="13.55" customHeight="1">
      <c r="A41" t="str" s="30" cm="1">
        <f t="array" ref="A41">IF($E41="","",COUNT($E$11:$E41))</f>
      </c>
      <c r="B41" s="39"/>
      <c r="C41" s="39"/>
      <c r="D41" s="39"/>
      <c r="E41" t="str" s="30" cm="1">
        <f t="array" ref="E41">IF($D41="","",_xlfn.IFERROR(IF($I41=-1,IF($D41&lt;0.5,$D41*86400,IF($D41&lt;100,$D41*1440,$D41)),IF($I41=2,VALUE(LEFT($D41,$J41-1))*3600+VALUE(MID($D41,$J41+1,$K41-$J41-1))*60,IF($I41=1,VALUE(LEFT($D41,$J41-1))*60,0))+IF($M41=0,VALUE($L41),VALUE(LEFT($L41,$M41-1))+VALUE(MID($L41,$M41+1,10))/10^(LEN($L41)-$M41))),""))</f>
      </c>
      <c r="F41" t="str" s="30" cm="1">
        <f t="array" ref="F41">IF($E41="","",MAX(0,$I$7-$E41))</f>
      </c>
      <c r="G41" t="str" s="30" cm="1">
        <f t="array" ref="G41">IF($E41="","",$F41*$D$7)</f>
      </c>
      <c r="H41" t="str" s="30" cm="1">
        <f t="array" ref="H41">IF($E41="","",$T41+IF(AND($V$6&gt;=$D$8,COUNT($E$11:$E41)=$V$7+1),$D$8,0))</f>
      </c>
      <c r="I41" t="str" s="30" cm="1">
        <f t="array" ref="I41">IF($D41="","",IF(ISTEXT($D41),LEN($D41)-LEN(SUBSTITUTE($D41,":","")),-1))</f>
      </c>
      <c r="J41" s="29" cm="1">
        <f t="array" ref="J41">_xlfn.IFERROR(FIND(":",$D41),0)</f>
        <v>0</v>
      </c>
      <c r="K41" s="29" cm="1">
        <f t="array" ref="K41">_xlfn.IFERROR(FIND(":",$D41,$J41+1),0)</f>
        <v>0</v>
      </c>
      <c r="L41" t="str" s="30" cm="1">
        <f t="array" ref="L41">IF($D41="","",IF($I41=2,MID($D41,$K41+1,10),IF($I41=1,MID($D41,$J41+1,10),IF($I41=0,$D41,""))))</f>
      </c>
      <c r="M41" s="29" cm="1">
        <f t="array" ref="M41">IF($L41="",0,_xlfn.IFERROR(FIND(".",SUBSTITUTE($L41,",",".")),0))</f>
        <v>0</v>
      </c>
      <c r="N41" s="29" cm="1">
        <f t="array" ref="N41">IF($E41="",10^9,$E41)</f>
        <v>1000000000</v>
      </c>
      <c r="O41" t="str" s="30" cm="1">
        <f t="array" ref="O41">IF($E41="","",SUM($E$11:$E41))</f>
      </c>
      <c r="P41" t="str" s="30" cm="1">
        <f t="array" ref="P41">IF($E41="","",($D$6/$D$7+$O41)/COUNT($E$11:$E41))</f>
      </c>
      <c r="Q41" s="29" cm="1">
        <f t="array" ref="Q41">IF($E41="",0,IF(AND($E41&lt;$P41,OR($E42="",$P41&lt;=$E42)),1,0))</f>
        <v>0</v>
      </c>
      <c r="R41" s="27" cm="1">
        <f t="array" ref="R41">IF($V$4=0,"",ROUND($V$4,1)-10+(41-11)*0.1)</f>
        <v>2516.1</v>
      </c>
      <c r="S41" s="28">
        <v>19000</v>
      </c>
      <c r="T41" t="str" s="30" cm="1">
        <f t="array" ref="T41">IF($E41="","",ROUND($G41/$D$8,0)*$D$8)</f>
      </c>
      <c r="U41" s="14"/>
      <c r="V41" s="8"/>
    </row>
    <row r="42" ht="13.55" customHeight="1">
      <c r="A42" t="str" s="30" cm="1">
        <f t="array" ref="A42">IF($E42="","",COUNT($E$11:$E42))</f>
      </c>
      <c r="B42" s="39"/>
      <c r="C42" s="39"/>
      <c r="D42" s="39"/>
      <c r="E42" t="str" s="30" cm="1">
        <f t="array" ref="E42">IF($D42="","",_xlfn.IFERROR(IF($I42=-1,IF($D42&lt;0.5,$D42*86400,IF($D42&lt;100,$D42*1440,$D42)),IF($I42=2,VALUE(LEFT($D42,$J42-1))*3600+VALUE(MID($D42,$J42+1,$K42-$J42-1))*60,IF($I42=1,VALUE(LEFT($D42,$J42-1))*60,0))+IF($M42=0,VALUE($L42),VALUE(LEFT($L42,$M42-1))+VALUE(MID($L42,$M42+1,10))/10^(LEN($L42)-$M42))),""))</f>
      </c>
      <c r="F42" t="str" s="30" cm="1">
        <f t="array" ref="F42">IF($E42="","",MAX(0,$I$7-$E42))</f>
      </c>
      <c r="G42" t="str" s="30" cm="1">
        <f t="array" ref="G42">IF($E42="","",$F42*$D$7)</f>
      </c>
      <c r="H42" t="str" s="30" cm="1">
        <f t="array" ref="H42">IF($E42="","",$T42+IF(AND($V$6&gt;=$D$8,COUNT($E$11:$E42)=$V$7+1),$D$8,0))</f>
      </c>
      <c r="I42" t="str" s="30" cm="1">
        <f t="array" ref="I42">IF($D42="","",IF(ISTEXT($D42),LEN($D42)-LEN(SUBSTITUTE($D42,":","")),-1))</f>
      </c>
      <c r="J42" s="29" cm="1">
        <f t="array" ref="J42">_xlfn.IFERROR(FIND(":",$D42),0)</f>
        <v>0</v>
      </c>
      <c r="K42" s="29" cm="1">
        <f t="array" ref="K42">_xlfn.IFERROR(FIND(":",$D42,$J42+1),0)</f>
        <v>0</v>
      </c>
      <c r="L42" t="str" s="30" cm="1">
        <f t="array" ref="L42">IF($D42="","",IF($I42=2,MID($D42,$K42+1,10),IF($I42=1,MID($D42,$J42+1,10),IF($I42=0,$D42,""))))</f>
      </c>
      <c r="M42" s="29" cm="1">
        <f t="array" ref="M42">IF($L42="",0,_xlfn.IFERROR(FIND(".",SUBSTITUTE($L42,",",".")),0))</f>
        <v>0</v>
      </c>
      <c r="N42" s="29" cm="1">
        <f t="array" ref="N42">IF($E42="",10^9,$E42)</f>
        <v>1000000000</v>
      </c>
      <c r="O42" t="str" s="30" cm="1">
        <f t="array" ref="O42">IF($E42="","",SUM($E$11:$E42))</f>
      </c>
      <c r="P42" t="str" s="30" cm="1">
        <f t="array" ref="P42">IF($E42="","",($D$6/$D$7+$O42)/COUNT($E$11:$E42))</f>
      </c>
      <c r="Q42" s="29" cm="1">
        <f t="array" ref="Q42">IF($E42="",0,IF(AND($E42&lt;$P42,OR($E43="",$P42&lt;=$E43)),1,0))</f>
        <v>0</v>
      </c>
      <c r="R42" s="27" cm="1">
        <f t="array" ref="R42">IF($V$4=0,"",ROUND($V$4,1)-10+(42-11)*0.1)</f>
        <v>2516.2</v>
      </c>
      <c r="S42" s="28">
        <v>19000</v>
      </c>
      <c r="T42" t="str" s="30" cm="1">
        <f t="array" ref="T42">IF($E42="","",ROUND($G42/$D$8,0)*$D$8)</f>
      </c>
      <c r="U42" s="14"/>
      <c r="V42" s="8"/>
    </row>
    <row r="43" ht="13.55" customHeight="1">
      <c r="A43" t="str" s="30" cm="1">
        <f t="array" ref="A43">IF($E43="","",COUNT($E$11:$E43))</f>
      </c>
      <c r="B43" s="39"/>
      <c r="C43" s="39"/>
      <c r="D43" s="39"/>
      <c r="E43" t="str" s="30" cm="1">
        <f t="array" ref="E43">IF($D43="","",_xlfn.IFERROR(IF($I43=-1,IF($D43&lt;0.5,$D43*86400,IF($D43&lt;100,$D43*1440,$D43)),IF($I43=2,VALUE(LEFT($D43,$J43-1))*3600+VALUE(MID($D43,$J43+1,$K43-$J43-1))*60,IF($I43=1,VALUE(LEFT($D43,$J43-1))*60,0))+IF($M43=0,VALUE($L43),VALUE(LEFT($L43,$M43-1))+VALUE(MID($L43,$M43+1,10))/10^(LEN($L43)-$M43))),""))</f>
      </c>
      <c r="F43" t="str" s="30" cm="1">
        <f t="array" ref="F43">IF($E43="","",MAX(0,$I$7-$E43))</f>
      </c>
      <c r="G43" t="str" s="30" cm="1">
        <f t="array" ref="G43">IF($E43="","",$F43*$D$7)</f>
      </c>
      <c r="H43" t="str" s="30" cm="1">
        <f t="array" ref="H43">IF($E43="","",$T43+IF(AND($V$6&gt;=$D$8,COUNT($E$11:$E43)=$V$7+1),$D$8,0))</f>
      </c>
      <c r="I43" t="str" s="30" cm="1">
        <f t="array" ref="I43">IF($D43="","",IF(ISTEXT($D43),LEN($D43)-LEN(SUBSTITUTE($D43,":","")),-1))</f>
      </c>
      <c r="J43" s="29" cm="1">
        <f t="array" ref="J43">_xlfn.IFERROR(FIND(":",$D43),0)</f>
        <v>0</v>
      </c>
      <c r="K43" s="29" cm="1">
        <f t="array" ref="K43">_xlfn.IFERROR(FIND(":",$D43,$J43+1),0)</f>
        <v>0</v>
      </c>
      <c r="L43" t="str" s="30" cm="1">
        <f t="array" ref="L43">IF($D43="","",IF($I43=2,MID($D43,$K43+1,10),IF($I43=1,MID($D43,$J43+1,10),IF($I43=0,$D43,""))))</f>
      </c>
      <c r="M43" s="29" cm="1">
        <f t="array" ref="M43">IF($L43="",0,_xlfn.IFERROR(FIND(".",SUBSTITUTE($L43,",",".")),0))</f>
        <v>0</v>
      </c>
      <c r="N43" s="29" cm="1">
        <f t="array" ref="N43">IF($E43="",10^9,$E43)</f>
        <v>1000000000</v>
      </c>
      <c r="O43" t="str" s="30" cm="1">
        <f t="array" ref="O43">IF($E43="","",SUM($E$11:$E43))</f>
      </c>
      <c r="P43" t="str" s="30" cm="1">
        <f t="array" ref="P43">IF($E43="","",($D$6/$D$7+$O43)/COUNT($E$11:$E43))</f>
      </c>
      <c r="Q43" s="29" cm="1">
        <f t="array" ref="Q43">IF($E43="",0,IF(AND($E43&lt;$P43,OR($E44="",$P43&lt;=$E44)),1,0))</f>
        <v>0</v>
      </c>
      <c r="R43" s="27" cm="1">
        <f t="array" ref="R43">IF($V$4=0,"",ROUND($V$4,1)-10+(43-11)*0.1)</f>
        <v>2516.3</v>
      </c>
      <c r="S43" s="28">
        <v>19000</v>
      </c>
      <c r="T43" t="str" s="30" cm="1">
        <f t="array" ref="T43">IF($E43="","",ROUND($G43/$D$8,0)*$D$8)</f>
      </c>
      <c r="U43" s="14"/>
      <c r="V43" s="8"/>
    </row>
    <row r="44" ht="13.55" customHeight="1">
      <c r="A44" t="str" s="30" cm="1">
        <f t="array" ref="A44">IF($E44="","",COUNT($E$11:$E44))</f>
      </c>
      <c r="B44" s="39"/>
      <c r="C44" s="39"/>
      <c r="D44" s="39"/>
      <c r="E44" t="str" s="30" cm="1">
        <f t="array" ref="E44">IF($D44="","",_xlfn.IFERROR(IF($I44=-1,IF($D44&lt;0.5,$D44*86400,IF($D44&lt;100,$D44*1440,$D44)),IF($I44=2,VALUE(LEFT($D44,$J44-1))*3600+VALUE(MID($D44,$J44+1,$K44-$J44-1))*60,IF($I44=1,VALUE(LEFT($D44,$J44-1))*60,0))+IF($M44=0,VALUE($L44),VALUE(LEFT($L44,$M44-1))+VALUE(MID($L44,$M44+1,10))/10^(LEN($L44)-$M44))),""))</f>
      </c>
      <c r="F44" t="str" s="30" cm="1">
        <f t="array" ref="F44">IF($E44="","",MAX(0,$I$7-$E44))</f>
      </c>
      <c r="G44" t="str" s="30" cm="1">
        <f t="array" ref="G44">IF($E44="","",$F44*$D$7)</f>
      </c>
      <c r="H44" t="str" s="30" cm="1">
        <f t="array" ref="H44">IF($E44="","",$T44+IF(AND($V$6&gt;=$D$8,COUNT($E$11:$E44)=$V$7+1),$D$8,0))</f>
      </c>
      <c r="I44" t="str" s="30" cm="1">
        <f t="array" ref="I44">IF($D44="","",IF(ISTEXT($D44),LEN($D44)-LEN(SUBSTITUTE($D44,":","")),-1))</f>
      </c>
      <c r="J44" s="29" cm="1">
        <f t="array" ref="J44">_xlfn.IFERROR(FIND(":",$D44),0)</f>
        <v>0</v>
      </c>
      <c r="K44" s="29" cm="1">
        <f t="array" ref="K44">_xlfn.IFERROR(FIND(":",$D44,$J44+1),0)</f>
        <v>0</v>
      </c>
      <c r="L44" t="str" s="30" cm="1">
        <f t="array" ref="L44">IF($D44="","",IF($I44=2,MID($D44,$K44+1,10),IF($I44=1,MID($D44,$J44+1,10),IF($I44=0,$D44,""))))</f>
      </c>
      <c r="M44" s="29" cm="1">
        <f t="array" ref="M44">IF($L44="",0,_xlfn.IFERROR(FIND(".",SUBSTITUTE($L44,",",".")),0))</f>
        <v>0</v>
      </c>
      <c r="N44" s="29" cm="1">
        <f t="array" ref="N44">IF($E44="",10^9,$E44)</f>
        <v>1000000000</v>
      </c>
      <c r="O44" t="str" s="30" cm="1">
        <f t="array" ref="O44">IF($E44="","",SUM($E$11:$E44))</f>
      </c>
      <c r="P44" t="str" s="30" cm="1">
        <f t="array" ref="P44">IF($E44="","",($D$6/$D$7+$O44)/COUNT($E$11:$E44))</f>
      </c>
      <c r="Q44" s="29" cm="1">
        <f t="array" ref="Q44">IF($E44="",0,IF(AND($E44&lt;$P44,OR($E45="",$P44&lt;=$E45)),1,0))</f>
        <v>0</v>
      </c>
      <c r="R44" s="27" cm="1">
        <f t="array" ref="R44">IF($V$4=0,"",ROUND($V$4,1)-10+(44-11)*0.1)</f>
        <v>2516.4</v>
      </c>
      <c r="S44" s="28">
        <v>19000</v>
      </c>
      <c r="T44" t="str" s="30" cm="1">
        <f t="array" ref="T44">IF($E44="","",ROUND($G44/$D$8,0)*$D$8)</f>
      </c>
      <c r="U44" s="14"/>
      <c r="V44" s="8"/>
    </row>
    <row r="45" ht="13.55" customHeight="1">
      <c r="A45" t="str" s="30" cm="1">
        <f t="array" ref="A45">IF($E45="","",COUNT($E$11:$E45))</f>
      </c>
      <c r="B45" s="39"/>
      <c r="C45" s="39"/>
      <c r="D45" s="39"/>
      <c r="E45" t="str" s="30" cm="1">
        <f t="array" ref="E45">IF($D45="","",_xlfn.IFERROR(IF($I45=-1,IF($D45&lt;0.5,$D45*86400,IF($D45&lt;100,$D45*1440,$D45)),IF($I45=2,VALUE(LEFT($D45,$J45-1))*3600+VALUE(MID($D45,$J45+1,$K45-$J45-1))*60,IF($I45=1,VALUE(LEFT($D45,$J45-1))*60,0))+IF($M45=0,VALUE($L45),VALUE(LEFT($L45,$M45-1))+VALUE(MID($L45,$M45+1,10))/10^(LEN($L45)-$M45))),""))</f>
      </c>
      <c r="F45" t="str" s="30" cm="1">
        <f t="array" ref="F45">IF($E45="","",MAX(0,$I$7-$E45))</f>
      </c>
      <c r="G45" t="str" s="30" cm="1">
        <f t="array" ref="G45">IF($E45="","",$F45*$D$7)</f>
      </c>
      <c r="H45" t="str" s="30" cm="1">
        <f t="array" ref="H45">IF($E45="","",$T45+IF(AND($V$6&gt;=$D$8,COUNT($E$11:$E45)=$V$7+1),$D$8,0))</f>
      </c>
      <c r="I45" t="str" s="30" cm="1">
        <f t="array" ref="I45">IF($D45="","",IF(ISTEXT($D45),LEN($D45)-LEN(SUBSTITUTE($D45,":","")),-1))</f>
      </c>
      <c r="J45" s="29" cm="1">
        <f t="array" ref="J45">_xlfn.IFERROR(FIND(":",$D45),0)</f>
        <v>0</v>
      </c>
      <c r="K45" s="29" cm="1">
        <f t="array" ref="K45">_xlfn.IFERROR(FIND(":",$D45,$J45+1),0)</f>
        <v>0</v>
      </c>
      <c r="L45" t="str" s="30" cm="1">
        <f t="array" ref="L45">IF($D45="","",IF($I45=2,MID($D45,$K45+1,10),IF($I45=1,MID($D45,$J45+1,10),IF($I45=0,$D45,""))))</f>
      </c>
      <c r="M45" s="29" cm="1">
        <f t="array" ref="M45">IF($L45="",0,_xlfn.IFERROR(FIND(".",SUBSTITUTE($L45,",",".")),0))</f>
        <v>0</v>
      </c>
      <c r="N45" s="29" cm="1">
        <f t="array" ref="N45">IF($E45="",10^9,$E45)</f>
        <v>1000000000</v>
      </c>
      <c r="O45" t="str" s="30" cm="1">
        <f t="array" ref="O45">IF($E45="","",SUM($E$11:$E45))</f>
      </c>
      <c r="P45" t="str" s="30" cm="1">
        <f t="array" ref="P45">IF($E45="","",($D$6/$D$7+$O45)/COUNT($E$11:$E45))</f>
      </c>
      <c r="Q45" s="29" cm="1">
        <f t="array" ref="Q45">IF($E45="",0,IF(AND($E45&lt;$P45,OR($E46="",$P45&lt;=$E46)),1,0))</f>
        <v>0</v>
      </c>
      <c r="R45" s="27" cm="1">
        <f t="array" ref="R45">IF($V$4=0,"",ROUND($V$4,1)-10+(45-11)*0.1)</f>
        <v>2516.5</v>
      </c>
      <c r="S45" s="28">
        <v>20000</v>
      </c>
      <c r="T45" t="str" s="30" cm="1">
        <f t="array" ref="T45">IF($E45="","",ROUND($G45/$D$8,0)*$D$8)</f>
      </c>
      <c r="U45" s="14"/>
      <c r="V45" s="8"/>
    </row>
    <row r="46" ht="13.55" customHeight="1">
      <c r="A46" t="str" s="30" cm="1">
        <f t="array" ref="A46">IF($E46="","",COUNT($E$11:$E46))</f>
      </c>
      <c r="B46" s="39"/>
      <c r="C46" s="39"/>
      <c r="D46" s="39"/>
      <c r="E46" t="str" s="30" cm="1">
        <f t="array" ref="E46">IF($D46="","",_xlfn.IFERROR(IF($I46=-1,IF($D46&lt;0.5,$D46*86400,IF($D46&lt;100,$D46*1440,$D46)),IF($I46=2,VALUE(LEFT($D46,$J46-1))*3600+VALUE(MID($D46,$J46+1,$K46-$J46-1))*60,IF($I46=1,VALUE(LEFT($D46,$J46-1))*60,0))+IF($M46=0,VALUE($L46),VALUE(LEFT($L46,$M46-1))+VALUE(MID($L46,$M46+1,10))/10^(LEN($L46)-$M46))),""))</f>
      </c>
      <c r="F46" t="str" s="30" cm="1">
        <f t="array" ref="F46">IF($E46="","",MAX(0,$I$7-$E46))</f>
      </c>
      <c r="G46" t="str" s="30" cm="1">
        <f t="array" ref="G46">IF($E46="","",$F46*$D$7)</f>
      </c>
      <c r="H46" t="str" s="30" cm="1">
        <f t="array" ref="H46">IF($E46="","",$T46+IF(AND($V$6&gt;=$D$8,COUNT($E$11:$E46)=$V$7+1),$D$8,0))</f>
      </c>
      <c r="I46" t="str" s="30" cm="1">
        <f t="array" ref="I46">IF($D46="","",IF(ISTEXT($D46),LEN($D46)-LEN(SUBSTITUTE($D46,":","")),-1))</f>
      </c>
      <c r="J46" s="29" cm="1">
        <f t="array" ref="J46">_xlfn.IFERROR(FIND(":",$D46),0)</f>
        <v>0</v>
      </c>
      <c r="K46" s="29" cm="1">
        <f t="array" ref="K46">_xlfn.IFERROR(FIND(":",$D46,$J46+1),0)</f>
        <v>0</v>
      </c>
      <c r="L46" t="str" s="30" cm="1">
        <f t="array" ref="L46">IF($D46="","",IF($I46=2,MID($D46,$K46+1,10),IF($I46=1,MID($D46,$J46+1,10),IF($I46=0,$D46,""))))</f>
      </c>
      <c r="M46" s="29" cm="1">
        <f t="array" ref="M46">IF($L46="",0,_xlfn.IFERROR(FIND(".",SUBSTITUTE($L46,",",".")),0))</f>
        <v>0</v>
      </c>
      <c r="N46" s="29" cm="1">
        <f t="array" ref="N46">IF($E46="",10^9,$E46)</f>
        <v>1000000000</v>
      </c>
      <c r="O46" t="str" s="30" cm="1">
        <f t="array" ref="O46">IF($E46="","",SUM($E$11:$E46))</f>
      </c>
      <c r="P46" t="str" s="30" cm="1">
        <f t="array" ref="P46">IF($E46="","",($D$6/$D$7+$O46)/COUNT($E$11:$E46))</f>
      </c>
      <c r="Q46" s="29" cm="1">
        <f t="array" ref="Q46">IF($E46="",0,IF(AND($E46&lt;$P46,OR($E47="",$P46&lt;=$E47)),1,0))</f>
        <v>0</v>
      </c>
      <c r="R46" s="27" cm="1">
        <f t="array" ref="R46">IF($V$4=0,"",ROUND($V$4,1)-10+(46-11)*0.1)</f>
        <v>2516.6</v>
      </c>
      <c r="S46" s="28">
        <v>20000</v>
      </c>
      <c r="T46" t="str" s="30" cm="1">
        <f t="array" ref="T46">IF($E46="","",ROUND($G46/$D$8,0)*$D$8)</f>
      </c>
      <c r="U46" s="14"/>
      <c r="V46" s="8"/>
    </row>
    <row r="47" ht="13.55" customHeight="1">
      <c r="A47" t="str" s="30" cm="1">
        <f t="array" ref="A47">IF($E47="","",COUNT($E$11:$E47))</f>
      </c>
      <c r="B47" s="39"/>
      <c r="C47" s="39"/>
      <c r="D47" s="39"/>
      <c r="E47" t="str" s="30" cm="1">
        <f t="array" ref="E47">IF($D47="","",_xlfn.IFERROR(IF($I47=-1,IF($D47&lt;0.5,$D47*86400,IF($D47&lt;100,$D47*1440,$D47)),IF($I47=2,VALUE(LEFT($D47,$J47-1))*3600+VALUE(MID($D47,$J47+1,$K47-$J47-1))*60,IF($I47=1,VALUE(LEFT($D47,$J47-1))*60,0))+IF($M47=0,VALUE($L47),VALUE(LEFT($L47,$M47-1))+VALUE(MID($L47,$M47+1,10))/10^(LEN($L47)-$M47))),""))</f>
      </c>
      <c r="F47" t="str" s="30" cm="1">
        <f t="array" ref="F47">IF($E47="","",MAX(0,$I$7-$E47))</f>
      </c>
      <c r="G47" t="str" s="30" cm="1">
        <f t="array" ref="G47">IF($E47="","",$F47*$D$7)</f>
      </c>
      <c r="H47" t="str" s="30" cm="1">
        <f t="array" ref="H47">IF($E47="","",$T47+IF(AND($V$6&gt;=$D$8,COUNT($E$11:$E47)=$V$7+1),$D$8,0))</f>
      </c>
      <c r="I47" t="str" s="30" cm="1">
        <f t="array" ref="I47">IF($D47="","",IF(ISTEXT($D47),LEN($D47)-LEN(SUBSTITUTE($D47,":","")),-1))</f>
      </c>
      <c r="J47" s="29" cm="1">
        <f t="array" ref="J47">_xlfn.IFERROR(FIND(":",$D47),0)</f>
        <v>0</v>
      </c>
      <c r="K47" s="29" cm="1">
        <f t="array" ref="K47">_xlfn.IFERROR(FIND(":",$D47,$J47+1),0)</f>
        <v>0</v>
      </c>
      <c r="L47" t="str" s="30" cm="1">
        <f t="array" ref="L47">IF($D47="","",IF($I47=2,MID($D47,$K47+1,10),IF($I47=1,MID($D47,$J47+1,10),IF($I47=0,$D47,""))))</f>
      </c>
      <c r="M47" s="29" cm="1">
        <f t="array" ref="M47">IF($L47="",0,_xlfn.IFERROR(FIND(".",SUBSTITUTE($L47,",",".")),0))</f>
        <v>0</v>
      </c>
      <c r="N47" s="29" cm="1">
        <f t="array" ref="N47">IF($E47="",10^9,$E47)</f>
        <v>1000000000</v>
      </c>
      <c r="O47" t="str" s="30" cm="1">
        <f t="array" ref="O47">IF($E47="","",SUM($E$11:$E47))</f>
      </c>
      <c r="P47" t="str" s="30" cm="1">
        <f t="array" ref="P47">IF($E47="","",($D$6/$D$7+$O47)/COUNT($E$11:$E47))</f>
      </c>
      <c r="Q47" s="29" cm="1">
        <f t="array" ref="Q47">IF($E47="",0,IF(AND($E47&lt;$P47,OR($E48="",$P47&lt;=$E48)),1,0))</f>
        <v>0</v>
      </c>
      <c r="R47" s="27" cm="1">
        <f t="array" ref="R47">IF($V$4=0,"",ROUND($V$4,1)-10+(47-11)*0.1)</f>
        <v>2516.7</v>
      </c>
      <c r="S47" s="28">
        <v>20000</v>
      </c>
      <c r="T47" t="str" s="30" cm="1">
        <f t="array" ref="T47">IF($E47="","",ROUND($G47/$D$8,0)*$D$8)</f>
      </c>
      <c r="U47" s="14"/>
      <c r="V47" s="8"/>
    </row>
    <row r="48" ht="13.55" customHeight="1">
      <c r="A48" t="str" s="30" cm="1">
        <f t="array" ref="A48">IF($E48="","",COUNT($E$11:$E48))</f>
      </c>
      <c r="B48" s="39"/>
      <c r="C48" s="39"/>
      <c r="D48" s="39"/>
      <c r="E48" t="str" s="30" cm="1">
        <f t="array" ref="E48">IF($D48="","",_xlfn.IFERROR(IF($I48=-1,IF($D48&lt;0.5,$D48*86400,IF($D48&lt;100,$D48*1440,$D48)),IF($I48=2,VALUE(LEFT($D48,$J48-1))*3600+VALUE(MID($D48,$J48+1,$K48-$J48-1))*60,IF($I48=1,VALUE(LEFT($D48,$J48-1))*60,0))+IF($M48=0,VALUE($L48),VALUE(LEFT($L48,$M48-1))+VALUE(MID($L48,$M48+1,10))/10^(LEN($L48)-$M48))),""))</f>
      </c>
      <c r="F48" t="str" s="30" cm="1">
        <f t="array" ref="F48">IF($E48="","",MAX(0,$I$7-$E48))</f>
      </c>
      <c r="G48" t="str" s="30" cm="1">
        <f t="array" ref="G48">IF($E48="","",$F48*$D$7)</f>
      </c>
      <c r="H48" t="str" s="30" cm="1">
        <f t="array" ref="H48">IF($E48="","",$T48+IF(AND($V$6&gt;=$D$8,COUNT($E$11:$E48)=$V$7+1),$D$8,0))</f>
      </c>
      <c r="I48" t="str" s="30" cm="1">
        <f t="array" ref="I48">IF($D48="","",IF(ISTEXT($D48),LEN($D48)-LEN(SUBSTITUTE($D48,":","")),-1))</f>
      </c>
      <c r="J48" s="29" cm="1">
        <f t="array" ref="J48">_xlfn.IFERROR(FIND(":",$D48),0)</f>
        <v>0</v>
      </c>
      <c r="K48" s="29" cm="1">
        <f t="array" ref="K48">_xlfn.IFERROR(FIND(":",$D48,$J48+1),0)</f>
        <v>0</v>
      </c>
      <c r="L48" t="str" s="30" cm="1">
        <f t="array" ref="L48">IF($D48="","",IF($I48=2,MID($D48,$K48+1,10),IF($I48=1,MID($D48,$J48+1,10),IF($I48=0,$D48,""))))</f>
      </c>
      <c r="M48" s="29" cm="1">
        <f t="array" ref="M48">IF($L48="",0,_xlfn.IFERROR(FIND(".",SUBSTITUTE($L48,",",".")),0))</f>
        <v>0</v>
      </c>
      <c r="N48" s="29" cm="1">
        <f t="array" ref="N48">IF($E48="",10^9,$E48)</f>
        <v>1000000000</v>
      </c>
      <c r="O48" t="str" s="30" cm="1">
        <f t="array" ref="O48">IF($E48="","",SUM($E$11:$E48))</f>
      </c>
      <c r="P48" t="str" s="30" cm="1">
        <f t="array" ref="P48">IF($E48="","",($D$6/$D$7+$O48)/COUNT($E$11:$E48))</f>
      </c>
      <c r="Q48" s="29" cm="1">
        <f t="array" ref="Q48">IF($E48="",0,IF(AND($E48&lt;$P48,OR($E49="",$P48&lt;=$E49)),1,0))</f>
        <v>0</v>
      </c>
      <c r="R48" s="27" cm="1">
        <f t="array" ref="R48">IF($V$4=0,"",ROUND($V$4,1)-10+(48-11)*0.1)</f>
        <v>2516.8</v>
      </c>
      <c r="S48" s="28">
        <v>20000</v>
      </c>
      <c r="T48" t="str" s="30" cm="1">
        <f t="array" ref="T48">IF($E48="","",ROUND($G48/$D$8,0)*$D$8)</f>
      </c>
      <c r="U48" s="14"/>
      <c r="V48" s="8"/>
    </row>
    <row r="49" ht="13.55" customHeight="1">
      <c r="A49" t="str" s="30" cm="1">
        <f t="array" ref="A49">IF($E49="","",COUNT($E$11:$E49))</f>
      </c>
      <c r="B49" s="39"/>
      <c r="C49" s="39"/>
      <c r="D49" s="39"/>
      <c r="E49" t="str" s="30" cm="1">
        <f t="array" ref="E49">IF($D49="","",_xlfn.IFERROR(IF($I49=-1,IF($D49&lt;0.5,$D49*86400,IF($D49&lt;100,$D49*1440,$D49)),IF($I49=2,VALUE(LEFT($D49,$J49-1))*3600+VALUE(MID($D49,$J49+1,$K49-$J49-1))*60,IF($I49=1,VALUE(LEFT($D49,$J49-1))*60,0))+IF($M49=0,VALUE($L49),VALUE(LEFT($L49,$M49-1))+VALUE(MID($L49,$M49+1,10))/10^(LEN($L49)-$M49))),""))</f>
      </c>
      <c r="F49" t="str" s="30" cm="1">
        <f t="array" ref="F49">IF($E49="","",MAX(0,$I$7-$E49))</f>
      </c>
      <c r="G49" t="str" s="30" cm="1">
        <f t="array" ref="G49">IF($E49="","",$F49*$D$7)</f>
      </c>
      <c r="H49" t="str" s="30" cm="1">
        <f t="array" ref="H49">IF($E49="","",$T49+IF(AND($V$6&gt;=$D$8,COUNT($E$11:$E49)=$V$7+1),$D$8,0))</f>
      </c>
      <c r="I49" t="str" s="30" cm="1">
        <f t="array" ref="I49">IF($D49="","",IF(ISTEXT($D49),LEN($D49)-LEN(SUBSTITUTE($D49,":","")),-1))</f>
      </c>
      <c r="J49" s="29" cm="1">
        <f t="array" ref="J49">_xlfn.IFERROR(FIND(":",$D49),0)</f>
        <v>0</v>
      </c>
      <c r="K49" s="29" cm="1">
        <f t="array" ref="K49">_xlfn.IFERROR(FIND(":",$D49,$J49+1),0)</f>
        <v>0</v>
      </c>
      <c r="L49" t="str" s="30" cm="1">
        <f t="array" ref="L49">IF($D49="","",IF($I49=2,MID($D49,$K49+1,10),IF($I49=1,MID($D49,$J49+1,10),IF($I49=0,$D49,""))))</f>
      </c>
      <c r="M49" s="29" cm="1">
        <f t="array" ref="M49">IF($L49="",0,_xlfn.IFERROR(FIND(".",SUBSTITUTE($L49,",",".")),0))</f>
        <v>0</v>
      </c>
      <c r="N49" s="29" cm="1">
        <f t="array" ref="N49">IF($E49="",10^9,$E49)</f>
        <v>1000000000</v>
      </c>
      <c r="O49" t="str" s="30" cm="1">
        <f t="array" ref="O49">IF($E49="","",SUM($E$11:$E49))</f>
      </c>
      <c r="P49" t="str" s="30" cm="1">
        <f t="array" ref="P49">IF($E49="","",($D$6/$D$7+$O49)/COUNT($E$11:$E49))</f>
      </c>
      <c r="Q49" s="29" cm="1">
        <f t="array" ref="Q49">IF($E49="",0,IF(AND($E49&lt;$P49,OR($E50="",$P49&lt;=$E50)),1,0))</f>
        <v>0</v>
      </c>
      <c r="R49" s="27" cm="1">
        <f t="array" ref="R49">IF($V$4=0,"",ROUND($V$4,1)-10+(49-11)*0.1)</f>
        <v>2516.9</v>
      </c>
      <c r="S49" s="28">
        <v>20000</v>
      </c>
      <c r="T49" t="str" s="30" cm="1">
        <f t="array" ref="T49">IF($E49="","",ROUND($G49/$D$8,0)*$D$8)</f>
      </c>
      <c r="U49" s="14"/>
      <c r="V49" s="8"/>
    </row>
    <row r="50" ht="13.55" customHeight="1">
      <c r="A50" t="str" s="30" cm="1">
        <f t="array" ref="A50">IF($E50="","",COUNT($E$11:$E50))</f>
      </c>
      <c r="B50" s="39"/>
      <c r="C50" s="39"/>
      <c r="D50" s="39"/>
      <c r="E50" t="str" s="30" cm="1">
        <f t="array" ref="E50">IF($D50="","",_xlfn.IFERROR(IF($I50=-1,IF($D50&lt;0.5,$D50*86400,IF($D50&lt;100,$D50*1440,$D50)),IF($I50=2,VALUE(LEFT($D50,$J50-1))*3600+VALUE(MID($D50,$J50+1,$K50-$J50-1))*60,IF($I50=1,VALUE(LEFT($D50,$J50-1))*60,0))+IF($M50=0,VALUE($L50),VALUE(LEFT($L50,$M50-1))+VALUE(MID($L50,$M50+1,10))/10^(LEN($L50)-$M50))),""))</f>
      </c>
      <c r="F50" t="str" s="30" cm="1">
        <f t="array" ref="F50">IF($E50="","",MAX(0,$I$7-$E50))</f>
      </c>
      <c r="G50" t="str" s="30" cm="1">
        <f t="array" ref="G50">IF($E50="","",$F50*$D$7)</f>
      </c>
      <c r="H50" t="str" s="30" cm="1">
        <f t="array" ref="H50">IF($E50="","",$T50+IF(AND($V$6&gt;=$D$8,COUNT($E$11:$E50)=$V$7+1),$D$8,0))</f>
      </c>
      <c r="I50" t="str" s="30" cm="1">
        <f t="array" ref="I50">IF($D50="","",IF(ISTEXT($D50),LEN($D50)-LEN(SUBSTITUTE($D50,":","")),-1))</f>
      </c>
      <c r="J50" s="29" cm="1">
        <f t="array" ref="J50">_xlfn.IFERROR(FIND(":",$D50),0)</f>
        <v>0</v>
      </c>
      <c r="K50" s="29" cm="1">
        <f t="array" ref="K50">_xlfn.IFERROR(FIND(":",$D50,$J50+1),0)</f>
        <v>0</v>
      </c>
      <c r="L50" t="str" s="30" cm="1">
        <f t="array" ref="L50">IF($D50="","",IF($I50=2,MID($D50,$K50+1,10),IF($I50=1,MID($D50,$J50+1,10),IF($I50=0,$D50,""))))</f>
      </c>
      <c r="M50" s="29" cm="1">
        <f t="array" ref="M50">IF($L50="",0,_xlfn.IFERROR(FIND(".",SUBSTITUTE($L50,",",".")),0))</f>
        <v>0</v>
      </c>
      <c r="N50" s="29" cm="1">
        <f t="array" ref="N50">IF($E50="",10^9,$E50)</f>
        <v>1000000000</v>
      </c>
      <c r="O50" t="str" s="30" cm="1">
        <f t="array" ref="O50">IF($E50="","",SUM($E$11:$E50))</f>
      </c>
      <c r="P50" t="str" s="30" cm="1">
        <f t="array" ref="P50">IF($E50="","",($D$6/$D$7+$O50)/COUNT($E$11:$E50))</f>
      </c>
      <c r="Q50" s="29" cm="1">
        <f t="array" ref="Q50">IF($E50="",0,IF(AND($E50&lt;$P50,OR($E51="",$P50&lt;=$E51)),1,0))</f>
        <v>0</v>
      </c>
      <c r="R50" s="27" cm="1">
        <f t="array" ref="R50">IF($V$4=0,"",ROUND($V$4,1)-10+(50-11)*0.1)</f>
        <v>2517</v>
      </c>
      <c r="S50" s="28">
        <v>20000</v>
      </c>
      <c r="T50" t="str" s="30" cm="1">
        <f t="array" ref="T50">IF($E50="","",ROUND($G50/$D$8,0)*$D$8)</f>
      </c>
      <c r="U50" s="14"/>
      <c r="V50" s="8"/>
    </row>
    <row r="51" ht="13.55" customHeight="1">
      <c r="A51" t="str" s="30" cm="1">
        <f t="array" ref="A51">IF($E51="","",COUNT($E$11:$E51))</f>
      </c>
      <c r="B51" s="39"/>
      <c r="C51" s="39"/>
      <c r="D51" s="39"/>
      <c r="E51" t="str" s="30" cm="1">
        <f t="array" ref="E51">IF($D51="","",_xlfn.IFERROR(IF($I51=-1,IF($D51&lt;0.5,$D51*86400,IF($D51&lt;100,$D51*1440,$D51)),IF($I51=2,VALUE(LEFT($D51,$J51-1))*3600+VALUE(MID($D51,$J51+1,$K51-$J51-1))*60,IF($I51=1,VALUE(LEFT($D51,$J51-1))*60,0))+IF($M51=0,VALUE($L51),VALUE(LEFT($L51,$M51-1))+VALUE(MID($L51,$M51+1,10))/10^(LEN($L51)-$M51))),""))</f>
      </c>
      <c r="F51" t="str" s="30" cm="1">
        <f t="array" ref="F51">IF($E51="","",MAX(0,$I$7-$E51))</f>
      </c>
      <c r="G51" t="str" s="30" cm="1">
        <f t="array" ref="G51">IF($E51="","",$F51*$D$7)</f>
      </c>
      <c r="H51" t="str" s="30" cm="1">
        <f t="array" ref="H51">IF($E51="","",$T51+IF(AND($V$6&gt;=$D$8,COUNT($E$11:$E51)=$V$7+1),$D$8,0))</f>
      </c>
      <c r="I51" t="str" s="30" cm="1">
        <f t="array" ref="I51">IF($D51="","",IF(ISTEXT($D51),LEN($D51)-LEN(SUBSTITUTE($D51,":","")),-1))</f>
      </c>
      <c r="J51" s="29" cm="1">
        <f t="array" ref="J51">_xlfn.IFERROR(FIND(":",$D51),0)</f>
        <v>0</v>
      </c>
      <c r="K51" s="29" cm="1">
        <f t="array" ref="K51">_xlfn.IFERROR(FIND(":",$D51,$J51+1),0)</f>
        <v>0</v>
      </c>
      <c r="L51" t="str" s="30" cm="1">
        <f t="array" ref="L51">IF($D51="","",IF($I51=2,MID($D51,$K51+1,10),IF($I51=1,MID($D51,$J51+1,10),IF($I51=0,$D51,""))))</f>
      </c>
      <c r="M51" s="29" cm="1">
        <f t="array" ref="M51">IF($L51="",0,_xlfn.IFERROR(FIND(".",SUBSTITUTE($L51,",",".")),0))</f>
        <v>0</v>
      </c>
      <c r="N51" s="29" cm="1">
        <f t="array" ref="N51">IF($E51="",10^9,$E51)</f>
        <v>1000000000</v>
      </c>
      <c r="O51" t="str" s="30" cm="1">
        <f t="array" ref="O51">IF($E51="","",SUM($E$11:$E51))</f>
      </c>
      <c r="P51" t="str" s="30" cm="1">
        <f t="array" ref="P51">IF($E51="","",($D$6/$D$7+$O51)/COUNT($E$11:$E51))</f>
      </c>
      <c r="Q51" s="29" cm="1">
        <f t="array" ref="Q51">IF($E51="",0,IF(AND($E51&lt;$P51,OR($E52="",$P51&lt;=$E52)),1,0))</f>
        <v>0</v>
      </c>
      <c r="R51" s="27" cm="1">
        <f t="array" ref="R51">IF($V$4=0,"",ROUND($V$4,1)-10+(51-11)*0.1)</f>
        <v>2517.1</v>
      </c>
      <c r="S51" s="28">
        <v>20000</v>
      </c>
      <c r="T51" t="str" s="30" cm="1">
        <f t="array" ref="T51">IF($E51="","",ROUND($G51/$D$8,0)*$D$8)</f>
      </c>
      <c r="U51" s="14"/>
      <c r="V51" s="8"/>
    </row>
    <row r="52" ht="13.55" customHeight="1">
      <c r="A52" t="str" s="30" cm="1">
        <f t="array" ref="A52">IF($E52="","",COUNT($E$11:$E52))</f>
      </c>
      <c r="B52" s="39"/>
      <c r="C52" s="39"/>
      <c r="D52" s="39"/>
      <c r="E52" t="str" s="30" cm="1">
        <f t="array" ref="E52">IF($D52="","",_xlfn.IFERROR(IF($I52=-1,IF($D52&lt;0.5,$D52*86400,IF($D52&lt;100,$D52*1440,$D52)),IF($I52=2,VALUE(LEFT($D52,$J52-1))*3600+VALUE(MID($D52,$J52+1,$K52-$J52-1))*60,IF($I52=1,VALUE(LEFT($D52,$J52-1))*60,0))+IF($M52=0,VALUE($L52),VALUE(LEFT($L52,$M52-1))+VALUE(MID($L52,$M52+1,10))/10^(LEN($L52)-$M52))),""))</f>
      </c>
      <c r="F52" t="str" s="30" cm="1">
        <f t="array" ref="F52">IF($E52="","",MAX(0,$I$7-$E52))</f>
      </c>
      <c r="G52" t="str" s="30" cm="1">
        <f t="array" ref="G52">IF($E52="","",$F52*$D$7)</f>
      </c>
      <c r="H52" t="str" s="30" cm="1">
        <f t="array" ref="H52">IF($E52="","",$T52+IF(AND($V$6&gt;=$D$8,COUNT($E$11:$E52)=$V$7+1),$D$8,0))</f>
      </c>
      <c r="I52" t="str" s="30" cm="1">
        <f t="array" ref="I52">IF($D52="","",IF(ISTEXT($D52),LEN($D52)-LEN(SUBSTITUTE($D52,":","")),-1))</f>
      </c>
      <c r="J52" s="29" cm="1">
        <f t="array" ref="J52">_xlfn.IFERROR(FIND(":",$D52),0)</f>
        <v>0</v>
      </c>
      <c r="K52" s="29" cm="1">
        <f t="array" ref="K52">_xlfn.IFERROR(FIND(":",$D52,$J52+1),0)</f>
        <v>0</v>
      </c>
      <c r="L52" t="str" s="30" cm="1">
        <f t="array" ref="L52">IF($D52="","",IF($I52=2,MID($D52,$K52+1,10),IF($I52=1,MID($D52,$J52+1,10),IF($I52=0,$D52,""))))</f>
      </c>
      <c r="M52" s="29" cm="1">
        <f t="array" ref="M52">IF($L52="",0,_xlfn.IFERROR(FIND(".",SUBSTITUTE($L52,",",".")),0))</f>
        <v>0</v>
      </c>
      <c r="N52" s="29" cm="1">
        <f t="array" ref="N52">IF($E52="",10^9,$E52)</f>
        <v>1000000000</v>
      </c>
      <c r="O52" t="str" s="30" cm="1">
        <f t="array" ref="O52">IF($E52="","",SUM($E$11:$E52))</f>
      </c>
      <c r="P52" t="str" s="30" cm="1">
        <f t="array" ref="P52">IF($E52="","",($D$6/$D$7+$O52)/COUNT($E$11:$E52))</f>
      </c>
      <c r="Q52" s="29" cm="1">
        <f t="array" ref="Q52">IF($E52="",0,IF(AND($E52&lt;$P52,OR($E53="",$P52&lt;=$E53)),1,0))</f>
        <v>0</v>
      </c>
      <c r="R52" s="27" cm="1">
        <f t="array" ref="R52">IF($V$4=0,"",ROUND($V$4,1)-10+(52-11)*0.1)</f>
        <v>2517.2</v>
      </c>
      <c r="S52" s="28">
        <v>20000</v>
      </c>
      <c r="T52" t="str" s="30" cm="1">
        <f t="array" ref="T52">IF($E52="","",ROUND($G52/$D$8,0)*$D$8)</f>
      </c>
      <c r="U52" s="14"/>
      <c r="V52" s="8"/>
    </row>
    <row r="53" ht="13.55" customHeight="1">
      <c r="A53" t="str" s="30" cm="1">
        <f t="array" ref="A53">IF($E53="","",COUNT($E$11:$E53))</f>
      </c>
      <c r="B53" s="39"/>
      <c r="C53" s="39"/>
      <c r="D53" s="39"/>
      <c r="E53" t="str" s="30" cm="1">
        <f t="array" ref="E53">IF($D53="","",_xlfn.IFERROR(IF($I53=-1,IF($D53&lt;0.5,$D53*86400,IF($D53&lt;100,$D53*1440,$D53)),IF($I53=2,VALUE(LEFT($D53,$J53-1))*3600+VALUE(MID($D53,$J53+1,$K53-$J53-1))*60,IF($I53=1,VALUE(LEFT($D53,$J53-1))*60,0))+IF($M53=0,VALUE($L53),VALUE(LEFT($L53,$M53-1))+VALUE(MID($L53,$M53+1,10))/10^(LEN($L53)-$M53))),""))</f>
      </c>
      <c r="F53" t="str" s="30" cm="1">
        <f t="array" ref="F53">IF($E53="","",MAX(0,$I$7-$E53))</f>
      </c>
      <c r="G53" t="str" s="30" cm="1">
        <f t="array" ref="G53">IF($E53="","",$F53*$D$7)</f>
      </c>
      <c r="H53" t="str" s="30" cm="1">
        <f t="array" ref="H53">IF($E53="","",$T53+IF(AND($V$6&gt;=$D$8,COUNT($E$11:$E53)=$V$7+1),$D$8,0))</f>
      </c>
      <c r="I53" t="str" s="30" cm="1">
        <f t="array" ref="I53">IF($D53="","",IF(ISTEXT($D53),LEN($D53)-LEN(SUBSTITUTE($D53,":","")),-1))</f>
      </c>
      <c r="J53" s="29" cm="1">
        <f t="array" ref="J53">_xlfn.IFERROR(FIND(":",$D53),0)</f>
        <v>0</v>
      </c>
      <c r="K53" s="29" cm="1">
        <f t="array" ref="K53">_xlfn.IFERROR(FIND(":",$D53,$J53+1),0)</f>
        <v>0</v>
      </c>
      <c r="L53" t="str" s="30" cm="1">
        <f t="array" ref="L53">IF($D53="","",IF($I53=2,MID($D53,$K53+1,10),IF($I53=1,MID($D53,$J53+1,10),IF($I53=0,$D53,""))))</f>
      </c>
      <c r="M53" s="29" cm="1">
        <f t="array" ref="M53">IF($L53="",0,_xlfn.IFERROR(FIND(".",SUBSTITUTE($L53,",",".")),0))</f>
        <v>0</v>
      </c>
      <c r="N53" s="29" cm="1">
        <f t="array" ref="N53">IF($E53="",10^9,$E53)</f>
        <v>1000000000</v>
      </c>
      <c r="O53" t="str" s="30" cm="1">
        <f t="array" ref="O53">IF($E53="","",SUM($E$11:$E53))</f>
      </c>
      <c r="P53" t="str" s="30" cm="1">
        <f t="array" ref="P53">IF($E53="","",($D$6/$D$7+$O53)/COUNT($E$11:$E53))</f>
      </c>
      <c r="Q53" s="29" cm="1">
        <f t="array" ref="Q53">IF($E53="",0,IF(AND($E53&lt;$P53,OR($E54="",$P53&lt;=$E54)),1,0))</f>
        <v>0</v>
      </c>
      <c r="R53" s="27" cm="1">
        <f t="array" ref="R53">IF($V$4=0,"",ROUND($V$4,1)-10+(53-11)*0.1)</f>
        <v>2517.3</v>
      </c>
      <c r="S53" s="28">
        <v>20000</v>
      </c>
      <c r="T53" t="str" s="30" cm="1">
        <f t="array" ref="T53">IF($E53="","",ROUND($G53/$D$8,0)*$D$8)</f>
      </c>
      <c r="U53" s="14"/>
      <c r="V53" s="8"/>
    </row>
    <row r="54" ht="13.55" customHeight="1">
      <c r="A54" t="str" s="30" cm="1">
        <f t="array" ref="A54">IF($E54="","",COUNT($E$11:$E54))</f>
      </c>
      <c r="B54" s="39"/>
      <c r="C54" s="39"/>
      <c r="D54" s="39"/>
      <c r="E54" t="str" s="30" cm="1">
        <f t="array" ref="E54">IF($D54="","",_xlfn.IFERROR(IF($I54=-1,IF($D54&lt;0.5,$D54*86400,IF($D54&lt;100,$D54*1440,$D54)),IF($I54=2,VALUE(LEFT($D54,$J54-1))*3600+VALUE(MID($D54,$J54+1,$K54-$J54-1))*60,IF($I54=1,VALUE(LEFT($D54,$J54-1))*60,0))+IF($M54=0,VALUE($L54),VALUE(LEFT($L54,$M54-1))+VALUE(MID($L54,$M54+1,10))/10^(LEN($L54)-$M54))),""))</f>
      </c>
      <c r="F54" t="str" s="30" cm="1">
        <f t="array" ref="F54">IF($E54="","",MAX(0,$I$7-$E54))</f>
      </c>
      <c r="G54" t="str" s="30" cm="1">
        <f t="array" ref="G54">IF($E54="","",$F54*$D$7)</f>
      </c>
      <c r="H54" t="str" s="30" cm="1">
        <f t="array" ref="H54">IF($E54="","",$T54+IF(AND($V$6&gt;=$D$8,COUNT($E$11:$E54)=$V$7+1),$D$8,0))</f>
      </c>
      <c r="I54" t="str" s="30" cm="1">
        <f t="array" ref="I54">IF($D54="","",IF(ISTEXT($D54),LEN($D54)-LEN(SUBSTITUTE($D54,":","")),-1))</f>
      </c>
      <c r="J54" s="29" cm="1">
        <f t="array" ref="J54">_xlfn.IFERROR(FIND(":",$D54),0)</f>
        <v>0</v>
      </c>
      <c r="K54" s="29" cm="1">
        <f t="array" ref="K54">_xlfn.IFERROR(FIND(":",$D54,$J54+1),0)</f>
        <v>0</v>
      </c>
      <c r="L54" t="str" s="30" cm="1">
        <f t="array" ref="L54">IF($D54="","",IF($I54=2,MID($D54,$K54+1,10),IF($I54=1,MID($D54,$J54+1,10),IF($I54=0,$D54,""))))</f>
      </c>
      <c r="M54" s="29" cm="1">
        <f t="array" ref="M54">IF($L54="",0,_xlfn.IFERROR(FIND(".",SUBSTITUTE($L54,",",".")),0))</f>
        <v>0</v>
      </c>
      <c r="N54" s="29" cm="1">
        <f t="array" ref="N54">IF($E54="",10^9,$E54)</f>
        <v>1000000000</v>
      </c>
      <c r="O54" t="str" s="30" cm="1">
        <f t="array" ref="O54">IF($E54="","",SUM($E$11:$E54))</f>
      </c>
      <c r="P54" t="str" s="30" cm="1">
        <f t="array" ref="P54">IF($E54="","",($D$6/$D$7+$O54)/COUNT($E$11:$E54))</f>
      </c>
      <c r="Q54" s="29" cm="1">
        <f t="array" ref="Q54">IF($E54="",0,IF(AND($E54&lt;$P54,OR($E55="",$P54&lt;=$E55)),1,0))</f>
        <v>0</v>
      </c>
      <c r="R54" s="27" cm="1">
        <f t="array" ref="R54">IF($V$4=0,"",ROUND($V$4,1)-10+(54-11)*0.1)</f>
        <v>2517.4</v>
      </c>
      <c r="S54" s="28">
        <v>20000</v>
      </c>
      <c r="T54" t="str" s="30" cm="1">
        <f t="array" ref="T54">IF($E54="","",ROUND($G54/$D$8,0)*$D$8)</f>
      </c>
      <c r="U54" s="14"/>
      <c r="V54" s="8"/>
    </row>
    <row r="55" ht="13.55" customHeight="1">
      <c r="A55" t="str" s="30" cm="1">
        <f t="array" ref="A55">IF($E55="","",COUNT($E$11:$E55))</f>
      </c>
      <c r="B55" s="39"/>
      <c r="C55" s="39"/>
      <c r="D55" s="39"/>
      <c r="E55" t="str" s="30" cm="1">
        <f t="array" ref="E55">IF($D55="","",_xlfn.IFERROR(IF($I55=-1,IF($D55&lt;0.5,$D55*86400,IF($D55&lt;100,$D55*1440,$D55)),IF($I55=2,VALUE(LEFT($D55,$J55-1))*3600+VALUE(MID($D55,$J55+1,$K55-$J55-1))*60,IF($I55=1,VALUE(LEFT($D55,$J55-1))*60,0))+IF($M55=0,VALUE($L55),VALUE(LEFT($L55,$M55-1))+VALUE(MID($L55,$M55+1,10))/10^(LEN($L55)-$M55))),""))</f>
      </c>
      <c r="F55" t="str" s="30" cm="1">
        <f t="array" ref="F55">IF($E55="","",MAX(0,$I$7-$E55))</f>
      </c>
      <c r="G55" t="str" s="30" cm="1">
        <f t="array" ref="G55">IF($E55="","",$F55*$D$7)</f>
      </c>
      <c r="H55" t="str" s="30" cm="1">
        <f t="array" ref="H55">IF($E55="","",$T55+IF(AND($V$6&gt;=$D$8,COUNT($E$11:$E55)=$V$7+1),$D$8,0))</f>
      </c>
      <c r="I55" t="str" s="30" cm="1">
        <f t="array" ref="I55">IF($D55="","",IF(ISTEXT($D55),LEN($D55)-LEN(SUBSTITUTE($D55,":","")),-1))</f>
      </c>
      <c r="J55" s="29" cm="1">
        <f t="array" ref="J55">_xlfn.IFERROR(FIND(":",$D55),0)</f>
        <v>0</v>
      </c>
      <c r="K55" s="29" cm="1">
        <f t="array" ref="K55">_xlfn.IFERROR(FIND(":",$D55,$J55+1),0)</f>
        <v>0</v>
      </c>
      <c r="L55" t="str" s="30" cm="1">
        <f t="array" ref="L55">IF($D55="","",IF($I55=2,MID($D55,$K55+1,10),IF($I55=1,MID($D55,$J55+1,10),IF($I55=0,$D55,""))))</f>
      </c>
      <c r="M55" s="29" cm="1">
        <f t="array" ref="M55">IF($L55="",0,_xlfn.IFERROR(FIND(".",SUBSTITUTE($L55,",",".")),0))</f>
        <v>0</v>
      </c>
      <c r="N55" s="29" cm="1">
        <f t="array" ref="N55">IF($E55="",10^9,$E55)</f>
        <v>1000000000</v>
      </c>
      <c r="O55" t="str" s="30" cm="1">
        <f t="array" ref="O55">IF($E55="","",SUM($E$11:$E55))</f>
      </c>
      <c r="P55" t="str" s="30" cm="1">
        <f t="array" ref="P55">IF($E55="","",($D$6/$D$7+$O55)/COUNT($E$11:$E55))</f>
      </c>
      <c r="Q55" s="29" cm="1">
        <f t="array" ref="Q55">IF($E55="",0,IF(AND($E55&lt;$P55,OR($E56="",$P55&lt;=$E56)),1,0))</f>
        <v>0</v>
      </c>
      <c r="R55" s="27" cm="1">
        <f t="array" ref="R55">IF($V$4=0,"",ROUND($V$4,1)-10+(55-11)*0.1)</f>
        <v>2517.5</v>
      </c>
      <c r="S55" s="28">
        <v>20000</v>
      </c>
      <c r="T55" t="str" s="30" cm="1">
        <f t="array" ref="T55">IF($E55="","",ROUND($G55/$D$8,0)*$D$8)</f>
      </c>
      <c r="U55" s="14"/>
      <c r="V55" s="8"/>
    </row>
    <row r="56" ht="13.55" customHeight="1">
      <c r="A56" t="str" s="30" cm="1">
        <f t="array" ref="A56">IF($E56="","",COUNT($E$11:$E56))</f>
      </c>
      <c r="B56" s="39"/>
      <c r="C56" s="39"/>
      <c r="D56" s="39"/>
      <c r="E56" t="str" s="30" cm="1">
        <f t="array" ref="E56">IF($D56="","",_xlfn.IFERROR(IF($I56=-1,IF($D56&lt;0.5,$D56*86400,IF($D56&lt;100,$D56*1440,$D56)),IF($I56=2,VALUE(LEFT($D56,$J56-1))*3600+VALUE(MID($D56,$J56+1,$K56-$J56-1))*60,IF($I56=1,VALUE(LEFT($D56,$J56-1))*60,0))+IF($M56=0,VALUE($L56),VALUE(LEFT($L56,$M56-1))+VALUE(MID($L56,$M56+1,10))/10^(LEN($L56)-$M56))),""))</f>
      </c>
      <c r="F56" t="str" s="30" cm="1">
        <f t="array" ref="F56">IF($E56="","",MAX(0,$I$7-$E56))</f>
      </c>
      <c r="G56" t="str" s="30" cm="1">
        <f t="array" ref="G56">IF($E56="","",$F56*$D$7)</f>
      </c>
      <c r="H56" t="str" s="30" cm="1">
        <f t="array" ref="H56">IF($E56="","",$T56+IF(AND($V$6&gt;=$D$8,COUNT($E$11:$E56)=$V$7+1),$D$8,0))</f>
      </c>
      <c r="I56" t="str" s="30" cm="1">
        <f t="array" ref="I56">IF($D56="","",IF(ISTEXT($D56),LEN($D56)-LEN(SUBSTITUTE($D56,":","")),-1))</f>
      </c>
      <c r="J56" s="29" cm="1">
        <f t="array" ref="J56">_xlfn.IFERROR(FIND(":",$D56),0)</f>
        <v>0</v>
      </c>
      <c r="K56" s="29" cm="1">
        <f t="array" ref="K56">_xlfn.IFERROR(FIND(":",$D56,$J56+1),0)</f>
        <v>0</v>
      </c>
      <c r="L56" t="str" s="30" cm="1">
        <f t="array" ref="L56">IF($D56="","",IF($I56=2,MID($D56,$K56+1,10),IF($I56=1,MID($D56,$J56+1,10),IF($I56=0,$D56,""))))</f>
      </c>
      <c r="M56" s="29" cm="1">
        <f t="array" ref="M56">IF($L56="",0,_xlfn.IFERROR(FIND(".",SUBSTITUTE($L56,",",".")),0))</f>
        <v>0</v>
      </c>
      <c r="N56" s="29" cm="1">
        <f t="array" ref="N56">IF($E56="",10^9,$E56)</f>
        <v>1000000000</v>
      </c>
      <c r="O56" t="str" s="30" cm="1">
        <f t="array" ref="O56">IF($E56="","",SUM($E$11:$E56))</f>
      </c>
      <c r="P56" t="str" s="30" cm="1">
        <f t="array" ref="P56">IF($E56="","",($D$6/$D$7+$O56)/COUNT($E$11:$E56))</f>
      </c>
      <c r="Q56" s="29" cm="1">
        <f t="array" ref="Q56">IF($E56="",0,IF(AND($E56&lt;$P56,OR($E57="",$P56&lt;=$E57)),1,0))</f>
        <v>0</v>
      </c>
      <c r="R56" s="27" cm="1">
        <f t="array" ref="R56">IF($V$4=0,"",ROUND($V$4,1)-10+(56-11)*0.1)</f>
        <v>2517.6</v>
      </c>
      <c r="S56" s="28">
        <v>20000</v>
      </c>
      <c r="T56" t="str" s="30" cm="1">
        <f t="array" ref="T56">IF($E56="","",ROUND($G56/$D$8,0)*$D$8)</f>
      </c>
      <c r="U56" s="14"/>
      <c r="V56" s="8"/>
    </row>
    <row r="57" ht="13.55" customHeight="1">
      <c r="A57" t="str" s="30" cm="1">
        <f t="array" ref="A57">IF($E57="","",COUNT($E$11:$E57))</f>
      </c>
      <c r="B57" s="39"/>
      <c r="C57" s="39"/>
      <c r="D57" s="39"/>
      <c r="E57" t="str" s="30" cm="1">
        <f t="array" ref="E57">IF($D57="","",_xlfn.IFERROR(IF($I57=-1,IF($D57&lt;0.5,$D57*86400,IF($D57&lt;100,$D57*1440,$D57)),IF($I57=2,VALUE(LEFT($D57,$J57-1))*3600+VALUE(MID($D57,$J57+1,$K57-$J57-1))*60,IF($I57=1,VALUE(LEFT($D57,$J57-1))*60,0))+IF($M57=0,VALUE($L57),VALUE(LEFT($L57,$M57-1))+VALUE(MID($L57,$M57+1,10))/10^(LEN($L57)-$M57))),""))</f>
      </c>
      <c r="F57" t="str" s="30" cm="1">
        <f t="array" ref="F57">IF($E57="","",MAX(0,$I$7-$E57))</f>
      </c>
      <c r="G57" t="str" s="30" cm="1">
        <f t="array" ref="G57">IF($E57="","",$F57*$D$7)</f>
      </c>
      <c r="H57" t="str" s="30" cm="1">
        <f t="array" ref="H57">IF($E57="","",$T57+IF(AND($V$6&gt;=$D$8,COUNT($E$11:$E57)=$V$7+1),$D$8,0))</f>
      </c>
      <c r="I57" t="str" s="30" cm="1">
        <f t="array" ref="I57">IF($D57="","",IF(ISTEXT($D57),LEN($D57)-LEN(SUBSTITUTE($D57,":","")),-1))</f>
      </c>
      <c r="J57" s="29" cm="1">
        <f t="array" ref="J57">_xlfn.IFERROR(FIND(":",$D57),0)</f>
        <v>0</v>
      </c>
      <c r="K57" s="29" cm="1">
        <f t="array" ref="K57">_xlfn.IFERROR(FIND(":",$D57,$J57+1),0)</f>
        <v>0</v>
      </c>
      <c r="L57" t="str" s="30" cm="1">
        <f t="array" ref="L57">IF($D57="","",IF($I57=2,MID($D57,$K57+1,10),IF($I57=1,MID($D57,$J57+1,10),IF($I57=0,$D57,""))))</f>
      </c>
      <c r="M57" s="29" cm="1">
        <f t="array" ref="M57">IF($L57="",0,_xlfn.IFERROR(FIND(".",SUBSTITUTE($L57,",",".")),0))</f>
        <v>0</v>
      </c>
      <c r="N57" s="29" cm="1">
        <f t="array" ref="N57">IF($E57="",10^9,$E57)</f>
        <v>1000000000</v>
      </c>
      <c r="O57" t="str" s="30" cm="1">
        <f t="array" ref="O57">IF($E57="","",SUM($E$11:$E57))</f>
      </c>
      <c r="P57" t="str" s="30" cm="1">
        <f t="array" ref="P57">IF($E57="","",($D$6/$D$7+$O57)/COUNT($E$11:$E57))</f>
      </c>
      <c r="Q57" s="29" cm="1">
        <f t="array" ref="Q57">IF($E57="",0,IF(AND($E57&lt;$P57,OR($E58="",$P57&lt;=$E58)),1,0))</f>
        <v>0</v>
      </c>
      <c r="R57" s="27" cm="1">
        <f t="array" ref="R57">IF($V$4=0,"",ROUND($V$4,1)-10+(57-11)*0.1)</f>
        <v>2517.7</v>
      </c>
      <c r="S57" s="28">
        <v>20000</v>
      </c>
      <c r="T57" t="str" s="30" cm="1">
        <f t="array" ref="T57">IF($E57="","",ROUND($G57/$D$8,0)*$D$8)</f>
      </c>
      <c r="U57" s="14"/>
      <c r="V57" s="8"/>
    </row>
    <row r="58" ht="13.55" customHeight="1">
      <c r="A58" t="str" s="30" cm="1">
        <f t="array" ref="A58">IF($E58="","",COUNT($E$11:$E58))</f>
      </c>
      <c r="B58" s="39"/>
      <c r="C58" s="39"/>
      <c r="D58" s="39"/>
      <c r="E58" t="str" s="30" cm="1">
        <f t="array" ref="E58">IF($D58="","",_xlfn.IFERROR(IF($I58=-1,IF($D58&lt;0.5,$D58*86400,IF($D58&lt;100,$D58*1440,$D58)),IF($I58=2,VALUE(LEFT($D58,$J58-1))*3600+VALUE(MID($D58,$J58+1,$K58-$J58-1))*60,IF($I58=1,VALUE(LEFT($D58,$J58-1))*60,0))+IF($M58=0,VALUE($L58),VALUE(LEFT($L58,$M58-1))+VALUE(MID($L58,$M58+1,10))/10^(LEN($L58)-$M58))),""))</f>
      </c>
      <c r="F58" t="str" s="30" cm="1">
        <f t="array" ref="F58">IF($E58="","",MAX(0,$I$7-$E58))</f>
      </c>
      <c r="G58" t="str" s="30" cm="1">
        <f t="array" ref="G58">IF($E58="","",$F58*$D$7)</f>
      </c>
      <c r="H58" t="str" s="30" cm="1">
        <f t="array" ref="H58">IF($E58="","",$T58+IF(AND($V$6&gt;=$D$8,COUNT($E$11:$E58)=$V$7+1),$D$8,0))</f>
      </c>
      <c r="I58" t="str" s="30" cm="1">
        <f t="array" ref="I58">IF($D58="","",IF(ISTEXT($D58),LEN($D58)-LEN(SUBSTITUTE($D58,":","")),-1))</f>
      </c>
      <c r="J58" s="29" cm="1">
        <f t="array" ref="J58">_xlfn.IFERROR(FIND(":",$D58),0)</f>
        <v>0</v>
      </c>
      <c r="K58" s="29" cm="1">
        <f t="array" ref="K58">_xlfn.IFERROR(FIND(":",$D58,$J58+1),0)</f>
        <v>0</v>
      </c>
      <c r="L58" t="str" s="30" cm="1">
        <f t="array" ref="L58">IF($D58="","",IF($I58=2,MID($D58,$K58+1,10),IF($I58=1,MID($D58,$J58+1,10),IF($I58=0,$D58,""))))</f>
      </c>
      <c r="M58" s="29" cm="1">
        <f t="array" ref="M58">IF($L58="",0,_xlfn.IFERROR(FIND(".",SUBSTITUTE($L58,",",".")),0))</f>
        <v>0</v>
      </c>
      <c r="N58" s="29" cm="1">
        <f t="array" ref="N58">IF($E58="",10^9,$E58)</f>
        <v>1000000000</v>
      </c>
      <c r="O58" t="str" s="30" cm="1">
        <f t="array" ref="O58">IF($E58="","",SUM($E$11:$E58))</f>
      </c>
      <c r="P58" t="str" s="30" cm="1">
        <f t="array" ref="P58">IF($E58="","",($D$6/$D$7+$O58)/COUNT($E$11:$E58))</f>
      </c>
      <c r="Q58" s="29" cm="1">
        <f t="array" ref="Q58">IF($E58="",0,IF(AND($E58&lt;$P58,OR($E59="",$P58&lt;=$E59)),1,0))</f>
        <v>0</v>
      </c>
      <c r="R58" s="27" cm="1">
        <f t="array" ref="R58">IF($V$4=0,"",ROUND($V$4,1)-10+(58-11)*0.1)</f>
        <v>2517.8</v>
      </c>
      <c r="S58" s="28">
        <v>20000</v>
      </c>
      <c r="T58" t="str" s="30" cm="1">
        <f t="array" ref="T58">IF($E58="","",ROUND($G58/$D$8,0)*$D$8)</f>
      </c>
      <c r="U58" s="14"/>
      <c r="V58" s="8"/>
    </row>
    <row r="59" ht="13.55" customHeight="1">
      <c r="A59" t="str" s="30" cm="1">
        <f t="array" ref="A59">IF($E59="","",COUNT($E$11:$E59))</f>
      </c>
      <c r="B59" s="39"/>
      <c r="C59" s="39"/>
      <c r="D59" s="39"/>
      <c r="E59" t="str" s="30" cm="1">
        <f t="array" ref="E59">IF($D59="","",_xlfn.IFERROR(IF($I59=-1,IF($D59&lt;0.5,$D59*86400,IF($D59&lt;100,$D59*1440,$D59)),IF($I59=2,VALUE(LEFT($D59,$J59-1))*3600+VALUE(MID($D59,$J59+1,$K59-$J59-1))*60,IF($I59=1,VALUE(LEFT($D59,$J59-1))*60,0))+IF($M59=0,VALUE($L59),VALUE(LEFT($L59,$M59-1))+VALUE(MID($L59,$M59+1,10))/10^(LEN($L59)-$M59))),""))</f>
      </c>
      <c r="F59" t="str" s="30" cm="1">
        <f t="array" ref="F59">IF($E59="","",MAX(0,$I$7-$E59))</f>
      </c>
      <c r="G59" t="str" s="30" cm="1">
        <f t="array" ref="G59">IF($E59="","",$F59*$D$7)</f>
      </c>
      <c r="H59" t="str" s="30" cm="1">
        <f t="array" ref="H59">IF($E59="","",$T59+IF(AND($V$6&gt;=$D$8,COUNT($E$11:$E59)=$V$7+1),$D$8,0))</f>
      </c>
      <c r="I59" t="str" s="30" cm="1">
        <f t="array" ref="I59">IF($D59="","",IF(ISTEXT($D59),LEN($D59)-LEN(SUBSTITUTE($D59,":","")),-1))</f>
      </c>
      <c r="J59" s="29" cm="1">
        <f t="array" ref="J59">_xlfn.IFERROR(FIND(":",$D59),0)</f>
        <v>0</v>
      </c>
      <c r="K59" s="29" cm="1">
        <f t="array" ref="K59">_xlfn.IFERROR(FIND(":",$D59,$J59+1),0)</f>
        <v>0</v>
      </c>
      <c r="L59" t="str" s="30" cm="1">
        <f t="array" ref="L59">IF($D59="","",IF($I59=2,MID($D59,$K59+1,10),IF($I59=1,MID($D59,$J59+1,10),IF($I59=0,$D59,""))))</f>
      </c>
      <c r="M59" s="29" cm="1">
        <f t="array" ref="M59">IF($L59="",0,_xlfn.IFERROR(FIND(".",SUBSTITUTE($L59,",",".")),0))</f>
        <v>0</v>
      </c>
      <c r="N59" s="29" cm="1">
        <f t="array" ref="N59">IF($E59="",10^9,$E59)</f>
        <v>1000000000</v>
      </c>
      <c r="O59" t="str" s="30" cm="1">
        <f t="array" ref="O59">IF($E59="","",SUM($E$11:$E59))</f>
      </c>
      <c r="P59" t="str" s="30" cm="1">
        <f t="array" ref="P59">IF($E59="","",($D$6/$D$7+$O59)/COUNT($E$11:$E59))</f>
      </c>
      <c r="Q59" s="29" cm="1">
        <f t="array" ref="Q59">IF($E59="",0,IF(AND($E59&lt;$P59,OR($E60="",$P59&lt;=$E60)),1,0))</f>
        <v>0</v>
      </c>
      <c r="R59" s="27" cm="1">
        <f t="array" ref="R59">IF($V$4=0,"",ROUND($V$4,1)-10+(59-11)*0.1)</f>
        <v>2517.9</v>
      </c>
      <c r="S59" s="28">
        <v>20000</v>
      </c>
      <c r="T59" t="str" s="30" cm="1">
        <f t="array" ref="T59">IF($E59="","",ROUND($G59/$D$8,0)*$D$8)</f>
      </c>
      <c r="U59" s="14"/>
      <c r="V59" s="8"/>
    </row>
    <row r="60" ht="13.55" customHeight="1">
      <c r="A60" t="str" s="30" cm="1">
        <f t="array" ref="A60">IF($E60="","",COUNT($E$11:$E60))</f>
      </c>
      <c r="B60" s="39"/>
      <c r="C60" s="39"/>
      <c r="D60" s="39"/>
      <c r="E60" t="str" s="30" cm="1">
        <f t="array" ref="E60">IF($D60="","",_xlfn.IFERROR(IF($I60=-1,IF($D60&lt;0.5,$D60*86400,IF($D60&lt;100,$D60*1440,$D60)),IF($I60=2,VALUE(LEFT($D60,$J60-1))*3600+VALUE(MID($D60,$J60+1,$K60-$J60-1))*60,IF($I60=1,VALUE(LEFT($D60,$J60-1))*60,0))+IF($M60=0,VALUE($L60),VALUE(LEFT($L60,$M60-1))+VALUE(MID($L60,$M60+1,10))/10^(LEN($L60)-$M60))),""))</f>
      </c>
      <c r="F60" t="str" s="30" cm="1">
        <f t="array" ref="F60">IF($E60="","",MAX(0,$I$7-$E60))</f>
      </c>
      <c r="G60" t="str" s="30" cm="1">
        <f t="array" ref="G60">IF($E60="","",$F60*$D$7)</f>
      </c>
      <c r="H60" t="str" s="30" cm="1">
        <f t="array" ref="H60">IF($E60="","",$T60+IF(AND($V$6&gt;=$D$8,COUNT($E$11:$E60)=$V$7+1),$D$8,0))</f>
      </c>
      <c r="I60" t="str" s="30" cm="1">
        <f t="array" ref="I60">IF($D60="","",IF(ISTEXT($D60),LEN($D60)-LEN(SUBSTITUTE($D60,":","")),-1))</f>
      </c>
      <c r="J60" s="29" cm="1">
        <f t="array" ref="J60">_xlfn.IFERROR(FIND(":",$D60),0)</f>
        <v>0</v>
      </c>
      <c r="K60" s="29" cm="1">
        <f t="array" ref="K60">_xlfn.IFERROR(FIND(":",$D60,$J60+1),0)</f>
        <v>0</v>
      </c>
      <c r="L60" t="str" s="30" cm="1">
        <f t="array" ref="L60">IF($D60="","",IF($I60=2,MID($D60,$K60+1,10),IF($I60=1,MID($D60,$J60+1,10),IF($I60=0,$D60,""))))</f>
      </c>
      <c r="M60" s="29" cm="1">
        <f t="array" ref="M60">IF($L60="",0,_xlfn.IFERROR(FIND(".",SUBSTITUTE($L60,",",".")),0))</f>
        <v>0</v>
      </c>
      <c r="N60" s="29" cm="1">
        <f t="array" ref="N60">IF($E60="",10^9,$E60)</f>
        <v>1000000000</v>
      </c>
      <c r="O60" t="str" s="30" cm="1">
        <f t="array" ref="O60">IF($E60="","",SUM($E$11:$E60))</f>
      </c>
      <c r="P60" t="str" s="30" cm="1">
        <f t="array" ref="P60">IF($E60="","",($D$6/$D$7+$O60)/COUNT($E$11:$E60))</f>
      </c>
      <c r="Q60" s="29" cm="1">
        <f t="array" ref="Q60">IF($E60="",0,IF(AND($E60&lt;$P60,OR($E61="",$P60&lt;=$E61)),1,0))</f>
        <v>0</v>
      </c>
      <c r="R60" s="27" cm="1">
        <f t="array" ref="R60">IF($V$4=0,"",ROUND($V$4,1)-10+(60-11)*0.1)</f>
        <v>2518</v>
      </c>
      <c r="S60" s="28">
        <v>20000</v>
      </c>
      <c r="T60" t="str" s="30" cm="1">
        <f t="array" ref="T60">IF($E60="","",ROUND($G60/$D$8,0)*$D$8)</f>
      </c>
      <c r="U60" s="14"/>
      <c r="V60" s="8"/>
    </row>
    <row r="61" ht="13.55" customHeight="1">
      <c r="A61" t="str" s="30" cm="1">
        <f t="array" ref="A61">IF($E61="","",COUNT($E$11:$E61))</f>
      </c>
      <c r="B61" s="39"/>
      <c r="C61" s="39"/>
      <c r="D61" s="39"/>
      <c r="E61" t="str" s="30" cm="1">
        <f t="array" ref="E61">IF($D61="","",_xlfn.IFERROR(IF($I61=-1,IF($D61&lt;0.5,$D61*86400,IF($D61&lt;100,$D61*1440,$D61)),IF($I61=2,VALUE(LEFT($D61,$J61-1))*3600+VALUE(MID($D61,$J61+1,$K61-$J61-1))*60,IF($I61=1,VALUE(LEFT($D61,$J61-1))*60,0))+IF($M61=0,VALUE($L61),VALUE(LEFT($L61,$M61-1))+VALUE(MID($L61,$M61+1,10))/10^(LEN($L61)-$M61))),""))</f>
      </c>
      <c r="F61" t="str" s="30" cm="1">
        <f t="array" ref="F61">IF($E61="","",MAX(0,$I$7-$E61))</f>
      </c>
      <c r="G61" t="str" s="30" cm="1">
        <f t="array" ref="G61">IF($E61="","",$F61*$D$7)</f>
      </c>
      <c r="H61" t="str" s="30" cm="1">
        <f t="array" ref="H61">IF($E61="","",$T61+IF(AND($V$6&gt;=$D$8,COUNT($E$11:$E61)=$V$7+1),$D$8,0))</f>
      </c>
      <c r="I61" t="str" s="30" cm="1">
        <f t="array" ref="I61">IF($D61="","",IF(ISTEXT($D61),LEN($D61)-LEN(SUBSTITUTE($D61,":","")),-1))</f>
      </c>
      <c r="J61" s="29" cm="1">
        <f t="array" ref="J61">_xlfn.IFERROR(FIND(":",$D61),0)</f>
        <v>0</v>
      </c>
      <c r="K61" s="29" cm="1">
        <f t="array" ref="K61">_xlfn.IFERROR(FIND(":",$D61,$J61+1),0)</f>
        <v>0</v>
      </c>
      <c r="L61" t="str" s="30" cm="1">
        <f t="array" ref="L61">IF($D61="","",IF($I61=2,MID($D61,$K61+1,10),IF($I61=1,MID($D61,$J61+1,10),IF($I61=0,$D61,""))))</f>
      </c>
      <c r="M61" s="29" cm="1">
        <f t="array" ref="M61">IF($L61="",0,_xlfn.IFERROR(FIND(".",SUBSTITUTE($L61,",",".")),0))</f>
        <v>0</v>
      </c>
      <c r="N61" s="29" cm="1">
        <f t="array" ref="N61">IF($E61="",10^9,$E61)</f>
        <v>1000000000</v>
      </c>
      <c r="O61" t="str" s="30" cm="1">
        <f t="array" ref="O61">IF($E61="","",SUM($E$11:$E61))</f>
      </c>
      <c r="P61" t="str" s="30" cm="1">
        <f t="array" ref="P61">IF($E61="","",($D$6/$D$7+$O61)/COUNT($E$11:$E61))</f>
      </c>
      <c r="Q61" s="29" cm="1">
        <f t="array" ref="Q61">IF($E61="",0,IF(AND($E61&lt;$P61,OR($E62="",$P61&lt;=$E62)),1,0))</f>
        <v>0</v>
      </c>
      <c r="R61" s="27" cm="1">
        <f t="array" ref="R61">IF($V$4=0,"",ROUND($V$4,1)-10+(61-11)*0.1)</f>
        <v>2518.1</v>
      </c>
      <c r="S61" s="28">
        <v>20000</v>
      </c>
      <c r="T61" t="str" s="30" cm="1">
        <f t="array" ref="T61">IF($E61="","",ROUND($G61/$D$8,0)*$D$8)</f>
      </c>
      <c r="U61" s="14"/>
      <c r="V61" s="8"/>
    </row>
    <row r="62" ht="13.55" customHeight="1">
      <c r="A62" t="str" s="30" cm="1">
        <f t="array" ref="A62">IF($E62="","",COUNT($E$11:$E62))</f>
      </c>
      <c r="B62" s="39"/>
      <c r="C62" s="39"/>
      <c r="D62" s="39"/>
      <c r="E62" t="str" s="30" cm="1">
        <f t="array" ref="E62">IF($D62="","",_xlfn.IFERROR(IF($I62=-1,IF($D62&lt;0.5,$D62*86400,IF($D62&lt;100,$D62*1440,$D62)),IF($I62=2,VALUE(LEFT($D62,$J62-1))*3600+VALUE(MID($D62,$J62+1,$K62-$J62-1))*60,IF($I62=1,VALUE(LEFT($D62,$J62-1))*60,0))+IF($M62=0,VALUE($L62),VALUE(LEFT($L62,$M62-1))+VALUE(MID($L62,$M62+1,10))/10^(LEN($L62)-$M62))),""))</f>
      </c>
      <c r="F62" t="str" s="30" cm="1">
        <f t="array" ref="F62">IF($E62="","",MAX(0,$I$7-$E62))</f>
      </c>
      <c r="G62" t="str" s="30" cm="1">
        <f t="array" ref="G62">IF($E62="","",$F62*$D$7)</f>
      </c>
      <c r="H62" t="str" s="30" cm="1">
        <f t="array" ref="H62">IF($E62="","",$T62+IF(AND($V$6&gt;=$D$8,COUNT($E$11:$E62)=$V$7+1),$D$8,0))</f>
      </c>
      <c r="I62" t="str" s="30" cm="1">
        <f t="array" ref="I62">IF($D62="","",IF(ISTEXT($D62),LEN($D62)-LEN(SUBSTITUTE($D62,":","")),-1))</f>
      </c>
      <c r="J62" s="29" cm="1">
        <f t="array" ref="J62">_xlfn.IFERROR(FIND(":",$D62),0)</f>
        <v>0</v>
      </c>
      <c r="K62" s="29" cm="1">
        <f t="array" ref="K62">_xlfn.IFERROR(FIND(":",$D62,$J62+1),0)</f>
        <v>0</v>
      </c>
      <c r="L62" t="str" s="30" cm="1">
        <f t="array" ref="L62">IF($D62="","",IF($I62=2,MID($D62,$K62+1,10),IF($I62=1,MID($D62,$J62+1,10),IF($I62=0,$D62,""))))</f>
      </c>
      <c r="M62" s="29" cm="1">
        <f t="array" ref="M62">IF($L62="",0,_xlfn.IFERROR(FIND(".",SUBSTITUTE($L62,",",".")),0))</f>
        <v>0</v>
      </c>
      <c r="N62" s="29" cm="1">
        <f t="array" ref="N62">IF($E62="",10^9,$E62)</f>
        <v>1000000000</v>
      </c>
      <c r="O62" t="str" s="30" cm="1">
        <f t="array" ref="O62">IF($E62="","",SUM($E$11:$E62))</f>
      </c>
      <c r="P62" t="str" s="30" cm="1">
        <f t="array" ref="P62">IF($E62="","",($D$6/$D$7+$O62)/COUNT($E$11:$E62))</f>
      </c>
      <c r="Q62" s="29" cm="1">
        <f t="array" ref="Q62">IF($E62="",0,IF(AND($E62&lt;$P62,OR($E63="",$P62&lt;=$E63)),1,0))</f>
        <v>0</v>
      </c>
      <c r="R62" s="27" cm="1">
        <f t="array" ref="R62">IF($V$4=0,"",ROUND($V$4,1)-10+(62-11)*0.1)</f>
        <v>2518.2</v>
      </c>
      <c r="S62" s="28">
        <v>20000</v>
      </c>
      <c r="T62" t="str" s="30" cm="1">
        <f t="array" ref="T62">IF($E62="","",ROUND($G62/$D$8,0)*$D$8)</f>
      </c>
      <c r="U62" s="14"/>
      <c r="V62" s="8"/>
    </row>
    <row r="63" ht="13.55" customHeight="1">
      <c r="A63" t="str" s="30" cm="1">
        <f t="array" ref="A63">IF($E63="","",COUNT($E$11:$E63))</f>
      </c>
      <c r="B63" s="39"/>
      <c r="C63" s="39"/>
      <c r="D63" s="39"/>
      <c r="E63" t="str" s="30" cm="1">
        <f t="array" ref="E63">IF($D63="","",_xlfn.IFERROR(IF($I63=-1,IF($D63&lt;0.5,$D63*86400,IF($D63&lt;100,$D63*1440,$D63)),IF($I63=2,VALUE(LEFT($D63,$J63-1))*3600+VALUE(MID($D63,$J63+1,$K63-$J63-1))*60,IF($I63=1,VALUE(LEFT($D63,$J63-1))*60,0))+IF($M63=0,VALUE($L63),VALUE(LEFT($L63,$M63-1))+VALUE(MID($L63,$M63+1,10))/10^(LEN($L63)-$M63))),""))</f>
      </c>
      <c r="F63" t="str" s="30" cm="1">
        <f t="array" ref="F63">IF($E63="","",MAX(0,$I$7-$E63))</f>
      </c>
      <c r="G63" t="str" s="30" cm="1">
        <f t="array" ref="G63">IF($E63="","",$F63*$D$7)</f>
      </c>
      <c r="H63" t="str" s="30" cm="1">
        <f t="array" ref="H63">IF($E63="","",$T63+IF(AND($V$6&gt;=$D$8,COUNT($E$11:$E63)=$V$7+1),$D$8,0))</f>
      </c>
      <c r="I63" t="str" s="30" cm="1">
        <f t="array" ref="I63">IF($D63="","",IF(ISTEXT($D63),LEN($D63)-LEN(SUBSTITUTE($D63,":","")),-1))</f>
      </c>
      <c r="J63" s="29" cm="1">
        <f t="array" ref="J63">_xlfn.IFERROR(FIND(":",$D63),0)</f>
        <v>0</v>
      </c>
      <c r="K63" s="29" cm="1">
        <f t="array" ref="K63">_xlfn.IFERROR(FIND(":",$D63,$J63+1),0)</f>
        <v>0</v>
      </c>
      <c r="L63" t="str" s="30" cm="1">
        <f t="array" ref="L63">IF($D63="","",IF($I63=2,MID($D63,$K63+1,10),IF($I63=1,MID($D63,$J63+1,10),IF($I63=0,$D63,""))))</f>
      </c>
      <c r="M63" s="29" cm="1">
        <f t="array" ref="M63">IF($L63="",0,_xlfn.IFERROR(FIND(".",SUBSTITUTE($L63,",",".")),0))</f>
        <v>0</v>
      </c>
      <c r="N63" s="29" cm="1">
        <f t="array" ref="N63">IF($E63="",10^9,$E63)</f>
        <v>1000000000</v>
      </c>
      <c r="O63" t="str" s="30" cm="1">
        <f t="array" ref="O63">IF($E63="","",SUM($E$11:$E63))</f>
      </c>
      <c r="P63" t="str" s="30" cm="1">
        <f t="array" ref="P63">IF($E63="","",($D$6/$D$7+$O63)/COUNT($E$11:$E63))</f>
      </c>
      <c r="Q63" s="29" cm="1">
        <f t="array" ref="Q63">IF($E63="",0,IF(AND($E63&lt;$P63,OR($E64="",$P63&lt;=$E64)),1,0))</f>
        <v>0</v>
      </c>
      <c r="R63" s="27" cm="1">
        <f t="array" ref="R63">IF($V$4=0,"",ROUND($V$4,1)-10+(63-11)*0.1)</f>
        <v>2518.3</v>
      </c>
      <c r="S63" s="28">
        <v>20000</v>
      </c>
      <c r="T63" t="str" s="30" cm="1">
        <f t="array" ref="T63">IF($E63="","",ROUND($G63/$D$8,0)*$D$8)</f>
      </c>
      <c r="U63" s="14"/>
      <c r="V63" s="8"/>
    </row>
    <row r="64" ht="13.55" customHeight="1">
      <c r="A64" t="str" s="30" cm="1">
        <f t="array" ref="A64">IF($E64="","",COUNT($E$11:$E64))</f>
      </c>
      <c r="B64" s="39"/>
      <c r="C64" s="39"/>
      <c r="D64" s="39"/>
      <c r="E64" t="str" s="30" cm="1">
        <f t="array" ref="E64">IF($D64="","",_xlfn.IFERROR(IF($I64=-1,IF($D64&lt;0.5,$D64*86400,IF($D64&lt;100,$D64*1440,$D64)),IF($I64=2,VALUE(LEFT($D64,$J64-1))*3600+VALUE(MID($D64,$J64+1,$K64-$J64-1))*60,IF($I64=1,VALUE(LEFT($D64,$J64-1))*60,0))+IF($M64=0,VALUE($L64),VALUE(LEFT($L64,$M64-1))+VALUE(MID($L64,$M64+1,10))/10^(LEN($L64)-$M64))),""))</f>
      </c>
      <c r="F64" t="str" s="30" cm="1">
        <f t="array" ref="F64">IF($E64="","",MAX(0,$I$7-$E64))</f>
      </c>
      <c r="G64" t="str" s="30" cm="1">
        <f t="array" ref="G64">IF($E64="","",$F64*$D$7)</f>
      </c>
      <c r="H64" t="str" s="30" cm="1">
        <f t="array" ref="H64">IF($E64="","",$T64+IF(AND($V$6&gt;=$D$8,COUNT($E$11:$E64)=$V$7+1),$D$8,0))</f>
      </c>
      <c r="I64" t="str" s="30" cm="1">
        <f t="array" ref="I64">IF($D64="","",IF(ISTEXT($D64),LEN($D64)-LEN(SUBSTITUTE($D64,":","")),-1))</f>
      </c>
      <c r="J64" s="29" cm="1">
        <f t="array" ref="J64">_xlfn.IFERROR(FIND(":",$D64),0)</f>
        <v>0</v>
      </c>
      <c r="K64" s="29" cm="1">
        <f t="array" ref="K64">_xlfn.IFERROR(FIND(":",$D64,$J64+1),0)</f>
        <v>0</v>
      </c>
      <c r="L64" t="str" s="30" cm="1">
        <f t="array" ref="L64">IF($D64="","",IF($I64=2,MID($D64,$K64+1,10),IF($I64=1,MID($D64,$J64+1,10),IF($I64=0,$D64,""))))</f>
      </c>
      <c r="M64" s="29" cm="1">
        <f t="array" ref="M64">IF($L64="",0,_xlfn.IFERROR(FIND(".",SUBSTITUTE($L64,",",".")),0))</f>
        <v>0</v>
      </c>
      <c r="N64" s="29" cm="1">
        <f t="array" ref="N64">IF($E64="",10^9,$E64)</f>
        <v>1000000000</v>
      </c>
      <c r="O64" t="str" s="30" cm="1">
        <f t="array" ref="O64">IF($E64="","",SUM($E$11:$E64))</f>
      </c>
      <c r="P64" t="str" s="30" cm="1">
        <f t="array" ref="P64">IF($E64="","",($D$6/$D$7+$O64)/COUNT($E$11:$E64))</f>
      </c>
      <c r="Q64" s="29" cm="1">
        <f t="array" ref="Q64">IF($E64="",0,IF(AND($E64&lt;$P64,OR($E65="",$P64&lt;=$E65)),1,0))</f>
        <v>0</v>
      </c>
      <c r="R64" s="27" cm="1">
        <f t="array" ref="R64">IF($V$4=0,"",ROUND($V$4,1)-10+(64-11)*0.1)</f>
        <v>2518.4</v>
      </c>
      <c r="S64" s="28">
        <v>20000</v>
      </c>
      <c r="T64" t="str" s="30" cm="1">
        <f t="array" ref="T64">IF($E64="","",ROUND($G64/$D$8,0)*$D$8)</f>
      </c>
      <c r="U64" s="14"/>
      <c r="V64" s="8"/>
    </row>
    <row r="65" ht="13.55" customHeight="1">
      <c r="A65" t="str" s="30" cm="1">
        <f t="array" ref="A65">IF($E65="","",COUNT($E$11:$E65))</f>
      </c>
      <c r="B65" s="39"/>
      <c r="C65" s="39"/>
      <c r="D65" s="39"/>
      <c r="E65" t="str" s="30" cm="1">
        <f t="array" ref="E65">IF($D65="","",_xlfn.IFERROR(IF($I65=-1,IF($D65&lt;0.5,$D65*86400,IF($D65&lt;100,$D65*1440,$D65)),IF($I65=2,VALUE(LEFT($D65,$J65-1))*3600+VALUE(MID($D65,$J65+1,$K65-$J65-1))*60,IF($I65=1,VALUE(LEFT($D65,$J65-1))*60,0))+IF($M65=0,VALUE($L65),VALUE(LEFT($L65,$M65-1))+VALUE(MID($L65,$M65+1,10))/10^(LEN($L65)-$M65))),""))</f>
      </c>
      <c r="F65" t="str" s="30" cm="1">
        <f t="array" ref="F65">IF($E65="","",MAX(0,$I$7-$E65))</f>
      </c>
      <c r="G65" t="str" s="30" cm="1">
        <f t="array" ref="G65">IF($E65="","",$F65*$D$7)</f>
      </c>
      <c r="H65" t="str" s="30" cm="1">
        <f t="array" ref="H65">IF($E65="","",$T65+IF(AND($V$6&gt;=$D$8,COUNT($E$11:$E65)=$V$7+1),$D$8,0))</f>
      </c>
      <c r="I65" t="str" s="30" cm="1">
        <f t="array" ref="I65">IF($D65="","",IF(ISTEXT($D65),LEN($D65)-LEN(SUBSTITUTE($D65,":","")),-1))</f>
      </c>
      <c r="J65" s="29" cm="1">
        <f t="array" ref="J65">_xlfn.IFERROR(FIND(":",$D65),0)</f>
        <v>0</v>
      </c>
      <c r="K65" s="29" cm="1">
        <f t="array" ref="K65">_xlfn.IFERROR(FIND(":",$D65,$J65+1),0)</f>
        <v>0</v>
      </c>
      <c r="L65" t="str" s="30" cm="1">
        <f t="array" ref="L65">IF($D65="","",IF($I65=2,MID($D65,$K65+1,10),IF($I65=1,MID($D65,$J65+1,10),IF($I65=0,$D65,""))))</f>
      </c>
      <c r="M65" s="29" cm="1">
        <f t="array" ref="M65">IF($L65="",0,_xlfn.IFERROR(FIND(".",SUBSTITUTE($L65,",",".")),0))</f>
        <v>0</v>
      </c>
      <c r="N65" s="29" cm="1">
        <f t="array" ref="N65">IF($E65="",10^9,$E65)</f>
        <v>1000000000</v>
      </c>
      <c r="O65" t="str" s="30" cm="1">
        <f t="array" ref="O65">IF($E65="","",SUM($E$11:$E65))</f>
      </c>
      <c r="P65" t="str" s="30" cm="1">
        <f t="array" ref="P65">IF($E65="","",($D$6/$D$7+$O65)/COUNT($E$11:$E65))</f>
      </c>
      <c r="Q65" s="29" cm="1">
        <f t="array" ref="Q65">IF($E65="",0,IF(AND($E65&lt;$P65,OR($E66="",$P65&lt;=$E66)),1,0))</f>
        <v>0</v>
      </c>
      <c r="R65" s="27" cm="1">
        <f t="array" ref="R65">IF($V$4=0,"",ROUND($V$4,1)-10+(65-11)*0.1)</f>
        <v>2518.5</v>
      </c>
      <c r="S65" s="28">
        <v>20000</v>
      </c>
      <c r="T65" t="str" s="30" cm="1">
        <f t="array" ref="T65">IF($E65="","",ROUND($G65/$D$8,0)*$D$8)</f>
      </c>
      <c r="U65" s="14"/>
      <c r="V65" s="8"/>
    </row>
    <row r="66" ht="13.55" customHeight="1">
      <c r="A66" t="str" s="30" cm="1">
        <f t="array" ref="A66">IF($E66="","",COUNT($E$11:$E66))</f>
      </c>
      <c r="B66" s="39"/>
      <c r="C66" s="39"/>
      <c r="D66" s="39"/>
      <c r="E66" t="str" s="30" cm="1">
        <f t="array" ref="E66">IF($D66="","",_xlfn.IFERROR(IF($I66=-1,IF($D66&lt;0.5,$D66*86400,IF($D66&lt;100,$D66*1440,$D66)),IF($I66=2,VALUE(LEFT($D66,$J66-1))*3600+VALUE(MID($D66,$J66+1,$K66-$J66-1))*60,IF($I66=1,VALUE(LEFT($D66,$J66-1))*60,0))+IF($M66=0,VALUE($L66),VALUE(LEFT($L66,$M66-1))+VALUE(MID($L66,$M66+1,10))/10^(LEN($L66)-$M66))),""))</f>
      </c>
      <c r="F66" t="str" s="30" cm="1">
        <f t="array" ref="F66">IF($E66="","",MAX(0,$I$7-$E66))</f>
      </c>
      <c r="G66" t="str" s="30" cm="1">
        <f t="array" ref="G66">IF($E66="","",$F66*$D$7)</f>
      </c>
      <c r="H66" t="str" s="30" cm="1">
        <f t="array" ref="H66">IF($E66="","",$T66+IF(AND($V$6&gt;=$D$8,COUNT($E$11:$E66)=$V$7+1),$D$8,0))</f>
      </c>
      <c r="I66" t="str" s="30" cm="1">
        <f t="array" ref="I66">IF($D66="","",IF(ISTEXT($D66),LEN($D66)-LEN(SUBSTITUTE($D66,":","")),-1))</f>
      </c>
      <c r="J66" s="29" cm="1">
        <f t="array" ref="J66">_xlfn.IFERROR(FIND(":",$D66),0)</f>
        <v>0</v>
      </c>
      <c r="K66" s="29" cm="1">
        <f t="array" ref="K66">_xlfn.IFERROR(FIND(":",$D66,$J66+1),0)</f>
        <v>0</v>
      </c>
      <c r="L66" t="str" s="30" cm="1">
        <f t="array" ref="L66">IF($D66="","",IF($I66=2,MID($D66,$K66+1,10),IF($I66=1,MID($D66,$J66+1,10),IF($I66=0,$D66,""))))</f>
      </c>
      <c r="M66" s="29" cm="1">
        <f t="array" ref="M66">IF($L66="",0,_xlfn.IFERROR(FIND(".",SUBSTITUTE($L66,",",".")),0))</f>
        <v>0</v>
      </c>
      <c r="N66" s="29" cm="1">
        <f t="array" ref="N66">IF($E66="",10^9,$E66)</f>
        <v>1000000000</v>
      </c>
      <c r="O66" t="str" s="30" cm="1">
        <f t="array" ref="O66">IF($E66="","",SUM($E$11:$E66))</f>
      </c>
      <c r="P66" t="str" s="30" cm="1">
        <f t="array" ref="P66">IF($E66="","",($D$6/$D$7+$O66)/COUNT($E$11:$E66))</f>
      </c>
      <c r="Q66" s="29" cm="1">
        <f t="array" ref="Q66">IF($E66="",0,IF(AND($E66&lt;$P66,OR($E67="",$P66&lt;=$E67)),1,0))</f>
        <v>0</v>
      </c>
      <c r="R66" s="27" cm="1">
        <f t="array" ref="R66">IF($V$4=0,"",ROUND($V$4,1)-10+(66-11)*0.1)</f>
        <v>2518.6</v>
      </c>
      <c r="S66" s="28">
        <v>20000</v>
      </c>
      <c r="T66" t="str" s="30" cm="1">
        <f t="array" ref="T66">IF($E66="","",ROUND($G66/$D$8,0)*$D$8)</f>
      </c>
      <c r="U66" s="14"/>
      <c r="V66" s="8"/>
    </row>
    <row r="67" ht="13.55" customHeight="1">
      <c r="A67" t="str" s="30" cm="1">
        <f t="array" ref="A67">IF($E67="","",COUNT($E$11:$E67))</f>
      </c>
      <c r="B67" s="39"/>
      <c r="C67" s="39"/>
      <c r="D67" s="39"/>
      <c r="E67" t="str" s="30" cm="1">
        <f t="array" ref="E67">IF($D67="","",_xlfn.IFERROR(IF($I67=-1,IF($D67&lt;0.5,$D67*86400,IF($D67&lt;100,$D67*1440,$D67)),IF($I67=2,VALUE(LEFT($D67,$J67-1))*3600+VALUE(MID($D67,$J67+1,$K67-$J67-1))*60,IF($I67=1,VALUE(LEFT($D67,$J67-1))*60,0))+IF($M67=0,VALUE($L67),VALUE(LEFT($L67,$M67-1))+VALUE(MID($L67,$M67+1,10))/10^(LEN($L67)-$M67))),""))</f>
      </c>
      <c r="F67" t="str" s="30" cm="1">
        <f t="array" ref="F67">IF($E67="","",MAX(0,$I$7-$E67))</f>
      </c>
      <c r="G67" t="str" s="30" cm="1">
        <f t="array" ref="G67">IF($E67="","",$F67*$D$7)</f>
      </c>
      <c r="H67" t="str" s="30" cm="1">
        <f t="array" ref="H67">IF($E67="","",$T67+IF(AND($V$6&gt;=$D$8,COUNT($E$11:$E67)=$V$7+1),$D$8,0))</f>
      </c>
      <c r="I67" t="str" s="30" cm="1">
        <f t="array" ref="I67">IF($D67="","",IF(ISTEXT($D67),LEN($D67)-LEN(SUBSTITUTE($D67,":","")),-1))</f>
      </c>
      <c r="J67" s="29" cm="1">
        <f t="array" ref="J67">_xlfn.IFERROR(FIND(":",$D67),0)</f>
        <v>0</v>
      </c>
      <c r="K67" s="29" cm="1">
        <f t="array" ref="K67">_xlfn.IFERROR(FIND(":",$D67,$J67+1),0)</f>
        <v>0</v>
      </c>
      <c r="L67" t="str" s="30" cm="1">
        <f t="array" ref="L67">IF($D67="","",IF($I67=2,MID($D67,$K67+1,10),IF($I67=1,MID($D67,$J67+1,10),IF($I67=0,$D67,""))))</f>
      </c>
      <c r="M67" s="29" cm="1">
        <f t="array" ref="M67">IF($L67="",0,_xlfn.IFERROR(FIND(".",SUBSTITUTE($L67,",",".")),0))</f>
        <v>0</v>
      </c>
      <c r="N67" s="29" cm="1">
        <f t="array" ref="N67">IF($E67="",10^9,$E67)</f>
        <v>1000000000</v>
      </c>
      <c r="O67" t="str" s="30" cm="1">
        <f t="array" ref="O67">IF($E67="","",SUM($E$11:$E67))</f>
      </c>
      <c r="P67" t="str" s="30" cm="1">
        <f t="array" ref="P67">IF($E67="","",($D$6/$D$7+$O67)/COUNT($E$11:$E67))</f>
      </c>
      <c r="Q67" s="29" cm="1">
        <f t="array" ref="Q67">IF($E67="",0,IF(AND($E67&lt;$P67,OR($E68="",$P67&lt;=$E68)),1,0))</f>
        <v>0</v>
      </c>
      <c r="R67" s="27" cm="1">
        <f t="array" ref="R67">IF($V$4=0,"",ROUND($V$4,1)-10+(67-11)*0.1)</f>
        <v>2518.7</v>
      </c>
      <c r="S67" s="28">
        <v>20000</v>
      </c>
      <c r="T67" t="str" s="30" cm="1">
        <f t="array" ref="T67">IF($E67="","",ROUND($G67/$D$8,0)*$D$8)</f>
      </c>
      <c r="U67" s="14"/>
      <c r="V67" s="8"/>
    </row>
    <row r="68" ht="13.55" customHeight="1">
      <c r="A68" t="str" s="30" cm="1">
        <f t="array" ref="A68">IF($E68="","",COUNT($E$11:$E68))</f>
      </c>
      <c r="B68" s="39"/>
      <c r="C68" s="39"/>
      <c r="D68" s="39"/>
      <c r="E68" t="str" s="30" cm="1">
        <f t="array" ref="E68">IF($D68="","",_xlfn.IFERROR(IF($I68=-1,IF($D68&lt;0.5,$D68*86400,IF($D68&lt;100,$D68*1440,$D68)),IF($I68=2,VALUE(LEFT($D68,$J68-1))*3600+VALUE(MID($D68,$J68+1,$K68-$J68-1))*60,IF($I68=1,VALUE(LEFT($D68,$J68-1))*60,0))+IF($M68=0,VALUE($L68),VALUE(LEFT($L68,$M68-1))+VALUE(MID($L68,$M68+1,10))/10^(LEN($L68)-$M68))),""))</f>
      </c>
      <c r="F68" t="str" s="30" cm="1">
        <f t="array" ref="F68">IF($E68="","",MAX(0,$I$7-$E68))</f>
      </c>
      <c r="G68" t="str" s="30" cm="1">
        <f t="array" ref="G68">IF($E68="","",$F68*$D$7)</f>
      </c>
      <c r="H68" t="str" s="30" cm="1">
        <f t="array" ref="H68">IF($E68="","",$T68+IF(AND($V$6&gt;=$D$8,COUNT($E$11:$E68)=$V$7+1),$D$8,0))</f>
      </c>
      <c r="I68" t="str" s="30" cm="1">
        <f t="array" ref="I68">IF($D68="","",IF(ISTEXT($D68),LEN($D68)-LEN(SUBSTITUTE($D68,":","")),-1))</f>
      </c>
      <c r="J68" s="29" cm="1">
        <f t="array" ref="J68">_xlfn.IFERROR(FIND(":",$D68),0)</f>
        <v>0</v>
      </c>
      <c r="K68" s="29" cm="1">
        <f t="array" ref="K68">_xlfn.IFERROR(FIND(":",$D68,$J68+1),0)</f>
        <v>0</v>
      </c>
      <c r="L68" t="str" s="30" cm="1">
        <f t="array" ref="L68">IF($D68="","",IF($I68=2,MID($D68,$K68+1,10),IF($I68=1,MID($D68,$J68+1,10),IF($I68=0,$D68,""))))</f>
      </c>
      <c r="M68" s="29" cm="1">
        <f t="array" ref="M68">IF($L68="",0,_xlfn.IFERROR(FIND(".",SUBSTITUTE($L68,",",".")),0))</f>
        <v>0</v>
      </c>
      <c r="N68" s="29" cm="1">
        <f t="array" ref="N68">IF($E68="",10^9,$E68)</f>
        <v>1000000000</v>
      </c>
      <c r="O68" t="str" s="30" cm="1">
        <f t="array" ref="O68">IF($E68="","",SUM($E$11:$E68))</f>
      </c>
      <c r="P68" t="str" s="30" cm="1">
        <f t="array" ref="P68">IF($E68="","",($D$6/$D$7+$O68)/COUNT($E$11:$E68))</f>
      </c>
      <c r="Q68" s="29" cm="1">
        <f t="array" ref="Q68">IF($E68="",0,IF(AND($E68&lt;$P68,OR($E69="",$P68&lt;=$E69)),1,0))</f>
        <v>0</v>
      </c>
      <c r="R68" s="27" cm="1">
        <f t="array" ref="R68">IF($V$4=0,"",ROUND($V$4,1)-10+(68-11)*0.1)</f>
        <v>2518.8</v>
      </c>
      <c r="S68" s="28">
        <v>20000</v>
      </c>
      <c r="T68" t="str" s="30" cm="1">
        <f t="array" ref="T68">IF($E68="","",ROUND($G68/$D$8,0)*$D$8)</f>
      </c>
      <c r="U68" s="14"/>
      <c r="V68" s="8"/>
    </row>
    <row r="69" ht="13.55" customHeight="1">
      <c r="A69" t="str" s="30" cm="1">
        <f t="array" ref="A69">IF($E69="","",COUNT($E$11:$E69))</f>
      </c>
      <c r="B69" s="39"/>
      <c r="C69" s="39"/>
      <c r="D69" s="39"/>
      <c r="E69" t="str" s="30" cm="1">
        <f t="array" ref="E69">IF($D69="","",_xlfn.IFERROR(IF($I69=-1,IF($D69&lt;0.5,$D69*86400,IF($D69&lt;100,$D69*1440,$D69)),IF($I69=2,VALUE(LEFT($D69,$J69-1))*3600+VALUE(MID($D69,$J69+1,$K69-$J69-1))*60,IF($I69=1,VALUE(LEFT($D69,$J69-1))*60,0))+IF($M69=0,VALUE($L69),VALUE(LEFT($L69,$M69-1))+VALUE(MID($L69,$M69+1,10))/10^(LEN($L69)-$M69))),""))</f>
      </c>
      <c r="F69" t="str" s="30" cm="1">
        <f t="array" ref="F69">IF($E69="","",MAX(0,$I$7-$E69))</f>
      </c>
      <c r="G69" t="str" s="30" cm="1">
        <f t="array" ref="G69">IF($E69="","",$F69*$D$7)</f>
      </c>
      <c r="H69" t="str" s="30" cm="1">
        <f t="array" ref="H69">IF($E69="","",$T69+IF(AND($V$6&gt;=$D$8,COUNT($E$11:$E69)=$V$7+1),$D$8,0))</f>
      </c>
      <c r="I69" t="str" s="30" cm="1">
        <f t="array" ref="I69">IF($D69="","",IF(ISTEXT($D69),LEN($D69)-LEN(SUBSTITUTE($D69,":","")),-1))</f>
      </c>
      <c r="J69" s="29" cm="1">
        <f t="array" ref="J69">_xlfn.IFERROR(FIND(":",$D69),0)</f>
        <v>0</v>
      </c>
      <c r="K69" s="29" cm="1">
        <f t="array" ref="K69">_xlfn.IFERROR(FIND(":",$D69,$J69+1),0)</f>
        <v>0</v>
      </c>
      <c r="L69" t="str" s="30" cm="1">
        <f t="array" ref="L69">IF($D69="","",IF($I69=2,MID($D69,$K69+1,10),IF($I69=1,MID($D69,$J69+1,10),IF($I69=0,$D69,""))))</f>
      </c>
      <c r="M69" s="29" cm="1">
        <f t="array" ref="M69">IF($L69="",0,_xlfn.IFERROR(FIND(".",SUBSTITUTE($L69,",",".")),0))</f>
        <v>0</v>
      </c>
      <c r="N69" s="29" cm="1">
        <f t="array" ref="N69">IF($E69="",10^9,$E69)</f>
        <v>1000000000</v>
      </c>
      <c r="O69" t="str" s="30" cm="1">
        <f t="array" ref="O69">IF($E69="","",SUM($E$11:$E69))</f>
      </c>
      <c r="P69" t="str" s="30" cm="1">
        <f t="array" ref="P69">IF($E69="","",($D$6/$D$7+$O69)/COUNT($E$11:$E69))</f>
      </c>
      <c r="Q69" s="29" cm="1">
        <f t="array" ref="Q69">IF($E69="",0,IF(AND($E69&lt;$P69,OR($E70="",$P69&lt;=$E70)),1,0))</f>
        <v>0</v>
      </c>
      <c r="R69" s="27" cm="1">
        <f t="array" ref="R69">IF($V$4=0,"",ROUND($V$4,1)-10+(69-11)*0.1)</f>
        <v>2518.9</v>
      </c>
      <c r="S69" s="28">
        <v>20000</v>
      </c>
      <c r="T69" t="str" s="30" cm="1">
        <f t="array" ref="T69">IF($E69="","",ROUND($G69/$D$8,0)*$D$8)</f>
      </c>
      <c r="U69" s="14"/>
      <c r="V69" s="8"/>
    </row>
    <row r="70" ht="13.55" customHeight="1">
      <c r="A70" t="str" s="30" cm="1">
        <f t="array" ref="A70">IF($E70="","",COUNT($E$11:$E70))</f>
      </c>
      <c r="B70" s="39"/>
      <c r="C70" s="39"/>
      <c r="D70" s="39"/>
      <c r="E70" t="str" s="30" cm="1">
        <f t="array" ref="E70">IF($D70="","",_xlfn.IFERROR(IF($I70=-1,IF($D70&lt;0.5,$D70*86400,IF($D70&lt;100,$D70*1440,$D70)),IF($I70=2,VALUE(LEFT($D70,$J70-1))*3600+VALUE(MID($D70,$J70+1,$K70-$J70-1))*60,IF($I70=1,VALUE(LEFT($D70,$J70-1))*60,0))+IF($M70=0,VALUE($L70),VALUE(LEFT($L70,$M70-1))+VALUE(MID($L70,$M70+1,10))/10^(LEN($L70)-$M70))),""))</f>
      </c>
      <c r="F70" t="str" s="30" cm="1">
        <f t="array" ref="F70">IF($E70="","",MAX(0,$I$7-$E70))</f>
      </c>
      <c r="G70" t="str" s="30" cm="1">
        <f t="array" ref="G70">IF($E70="","",$F70*$D$7)</f>
      </c>
      <c r="H70" t="str" s="30" cm="1">
        <f t="array" ref="H70">IF($E70="","",$T70+IF(AND($V$6&gt;=$D$8,COUNT($E$11:$E70)=$V$7+1),$D$8,0))</f>
      </c>
      <c r="I70" t="str" s="30" cm="1">
        <f t="array" ref="I70">IF($D70="","",IF(ISTEXT($D70),LEN($D70)-LEN(SUBSTITUTE($D70,":","")),-1))</f>
      </c>
      <c r="J70" s="29" cm="1">
        <f t="array" ref="J70">_xlfn.IFERROR(FIND(":",$D70),0)</f>
        <v>0</v>
      </c>
      <c r="K70" s="29" cm="1">
        <f t="array" ref="K70">_xlfn.IFERROR(FIND(":",$D70,$J70+1),0)</f>
        <v>0</v>
      </c>
      <c r="L70" t="str" s="30" cm="1">
        <f t="array" ref="L70">IF($D70="","",IF($I70=2,MID($D70,$K70+1,10),IF($I70=1,MID($D70,$J70+1,10),IF($I70=0,$D70,""))))</f>
      </c>
      <c r="M70" s="29" cm="1">
        <f t="array" ref="M70">IF($L70="",0,_xlfn.IFERROR(FIND(".",SUBSTITUTE($L70,",",".")),0))</f>
        <v>0</v>
      </c>
      <c r="N70" s="29" cm="1">
        <f t="array" ref="N70">IF($E70="",10^9,$E70)</f>
        <v>1000000000</v>
      </c>
      <c r="O70" t="str" s="30" cm="1">
        <f t="array" ref="O70">IF($E70="","",SUM($E$11:$E70))</f>
      </c>
      <c r="P70" t="str" s="30" cm="1">
        <f t="array" ref="P70">IF($E70="","",($D$6/$D$7+$O70)/COUNT($E$11:$E70))</f>
      </c>
      <c r="Q70" s="29" cm="1">
        <f t="array" ref="Q70">IF($E70="",0,IF(AND($E70&lt;$P70,OR($E71="",$P70&lt;=$E71)),1,0))</f>
        <v>0</v>
      </c>
      <c r="R70" s="27" cm="1">
        <f t="array" ref="R70">IF($V$4=0,"",ROUND($V$4,1)-10+(70-11)*0.1)</f>
        <v>2519</v>
      </c>
      <c r="S70" s="28">
        <v>20000</v>
      </c>
      <c r="T70" t="str" s="30" cm="1">
        <f t="array" ref="T70">IF($E70="","",ROUND($G70/$D$8,0)*$D$8)</f>
      </c>
      <c r="U70" s="14"/>
      <c r="V70" s="8"/>
    </row>
    <row r="71" ht="13.55" customHeight="1">
      <c r="A71" t="str" s="30" cm="1">
        <f t="array" ref="A71">IF($E71="","",COUNT($E$11:$E71))</f>
      </c>
      <c r="B71" s="39"/>
      <c r="C71" s="39"/>
      <c r="D71" s="39"/>
      <c r="E71" t="str" s="30" cm="1">
        <f t="array" ref="E71">IF($D71="","",_xlfn.IFERROR(IF($I71=-1,IF($D71&lt;0.5,$D71*86400,IF($D71&lt;100,$D71*1440,$D71)),IF($I71=2,VALUE(LEFT($D71,$J71-1))*3600+VALUE(MID($D71,$J71+1,$K71-$J71-1))*60,IF($I71=1,VALUE(LEFT($D71,$J71-1))*60,0))+IF($M71=0,VALUE($L71),VALUE(LEFT($L71,$M71-1))+VALUE(MID($L71,$M71+1,10))/10^(LEN($L71)-$M71))),""))</f>
      </c>
      <c r="F71" t="str" s="30" cm="1">
        <f t="array" ref="F71">IF($E71="","",MAX(0,$I$7-$E71))</f>
      </c>
      <c r="G71" t="str" s="30" cm="1">
        <f t="array" ref="G71">IF($E71="","",$F71*$D$7)</f>
      </c>
      <c r="H71" t="str" s="30" cm="1">
        <f t="array" ref="H71">IF($E71="","",$T71+IF(AND($V$6&gt;=$D$8,COUNT($E$11:$E71)=$V$7+1),$D$8,0))</f>
      </c>
      <c r="I71" t="str" s="30" cm="1">
        <f t="array" ref="I71">IF($D71="","",IF(ISTEXT($D71),LEN($D71)-LEN(SUBSTITUTE($D71,":","")),-1))</f>
      </c>
      <c r="J71" s="29" cm="1">
        <f t="array" ref="J71">_xlfn.IFERROR(FIND(":",$D71),0)</f>
        <v>0</v>
      </c>
      <c r="K71" s="29" cm="1">
        <f t="array" ref="K71">_xlfn.IFERROR(FIND(":",$D71,$J71+1),0)</f>
        <v>0</v>
      </c>
      <c r="L71" t="str" s="30" cm="1">
        <f t="array" ref="L71">IF($D71="","",IF($I71=2,MID($D71,$K71+1,10),IF($I71=1,MID($D71,$J71+1,10),IF($I71=0,$D71,""))))</f>
      </c>
      <c r="M71" s="29" cm="1">
        <f t="array" ref="M71">IF($L71="",0,_xlfn.IFERROR(FIND(".",SUBSTITUTE($L71,",",".")),0))</f>
        <v>0</v>
      </c>
      <c r="N71" s="29" cm="1">
        <f t="array" ref="N71">IF($E71="",10^9,$E71)</f>
        <v>1000000000</v>
      </c>
      <c r="O71" t="str" s="30" cm="1">
        <f t="array" ref="O71">IF($E71="","",SUM($E$11:$E71))</f>
      </c>
      <c r="P71" t="str" s="30" cm="1">
        <f t="array" ref="P71">IF($E71="","",($D$6/$D$7+$O71)/COUNT($E$11:$E71))</f>
      </c>
      <c r="Q71" s="29" cm="1">
        <f t="array" ref="Q71">IF($E71="",0,IF(AND($E71&lt;$P71,OR($E72="",$P71&lt;=$E72)),1,0))</f>
        <v>0</v>
      </c>
      <c r="R71" s="27" cm="1">
        <f t="array" ref="R71">IF($V$4=0,"",ROUND($V$4,1)-10+(71-11)*0.1)</f>
        <v>2519.1</v>
      </c>
      <c r="S71" s="28">
        <v>20000</v>
      </c>
      <c r="T71" t="str" s="30" cm="1">
        <f t="array" ref="T71">IF($E71="","",ROUND($G71/$D$8,0)*$D$8)</f>
      </c>
      <c r="U71" s="14"/>
      <c r="V71" s="8"/>
    </row>
    <row r="72" ht="13.55" customHeight="1">
      <c r="A72" t="str" s="30" cm="1">
        <f t="array" ref="A72">IF($E72="","",COUNT($E$11:$E72))</f>
      </c>
      <c r="B72" s="39"/>
      <c r="C72" s="39"/>
      <c r="D72" s="39"/>
      <c r="E72" t="str" s="30" cm="1">
        <f t="array" ref="E72">IF($D72="","",_xlfn.IFERROR(IF($I72=-1,IF($D72&lt;0.5,$D72*86400,IF($D72&lt;100,$D72*1440,$D72)),IF($I72=2,VALUE(LEFT($D72,$J72-1))*3600+VALUE(MID($D72,$J72+1,$K72-$J72-1))*60,IF($I72=1,VALUE(LEFT($D72,$J72-1))*60,0))+IF($M72=0,VALUE($L72),VALUE(LEFT($L72,$M72-1))+VALUE(MID($L72,$M72+1,10))/10^(LEN($L72)-$M72))),""))</f>
      </c>
      <c r="F72" t="str" s="30" cm="1">
        <f t="array" ref="F72">IF($E72="","",MAX(0,$I$7-$E72))</f>
      </c>
      <c r="G72" t="str" s="30" cm="1">
        <f t="array" ref="G72">IF($E72="","",$F72*$D$7)</f>
      </c>
      <c r="H72" t="str" s="30" cm="1">
        <f t="array" ref="H72">IF($E72="","",$T72+IF(AND($V$6&gt;=$D$8,COUNT($E$11:$E72)=$V$7+1),$D$8,0))</f>
      </c>
      <c r="I72" t="str" s="30" cm="1">
        <f t="array" ref="I72">IF($D72="","",IF(ISTEXT($D72),LEN($D72)-LEN(SUBSTITUTE($D72,":","")),-1))</f>
      </c>
      <c r="J72" s="29" cm="1">
        <f t="array" ref="J72">_xlfn.IFERROR(FIND(":",$D72),0)</f>
        <v>0</v>
      </c>
      <c r="K72" s="29" cm="1">
        <f t="array" ref="K72">_xlfn.IFERROR(FIND(":",$D72,$J72+1),0)</f>
        <v>0</v>
      </c>
      <c r="L72" t="str" s="30" cm="1">
        <f t="array" ref="L72">IF($D72="","",IF($I72=2,MID($D72,$K72+1,10),IF($I72=1,MID($D72,$J72+1,10),IF($I72=0,$D72,""))))</f>
      </c>
      <c r="M72" s="29" cm="1">
        <f t="array" ref="M72">IF($L72="",0,_xlfn.IFERROR(FIND(".",SUBSTITUTE($L72,",",".")),0))</f>
        <v>0</v>
      </c>
      <c r="N72" s="29" cm="1">
        <f t="array" ref="N72">IF($E72="",10^9,$E72)</f>
        <v>1000000000</v>
      </c>
      <c r="O72" t="str" s="30" cm="1">
        <f t="array" ref="O72">IF($E72="","",SUM($E$11:$E72))</f>
      </c>
      <c r="P72" t="str" s="30" cm="1">
        <f t="array" ref="P72">IF($E72="","",($D$6/$D$7+$O72)/COUNT($E$11:$E72))</f>
      </c>
      <c r="Q72" s="29" cm="1">
        <f t="array" ref="Q72">IF($E72="",0,IF(AND($E72&lt;$P72,OR($E73="",$P72&lt;=$E73)),1,0))</f>
        <v>0</v>
      </c>
      <c r="R72" s="27" cm="1">
        <f t="array" ref="R72">IF($V$4=0,"",ROUND($V$4,1)-10+(72-11)*0.1)</f>
        <v>2519.2</v>
      </c>
      <c r="S72" s="28">
        <v>20000</v>
      </c>
      <c r="T72" t="str" s="30" cm="1">
        <f t="array" ref="T72">IF($E72="","",ROUND($G72/$D$8,0)*$D$8)</f>
      </c>
      <c r="U72" s="14"/>
      <c r="V72" s="8"/>
    </row>
    <row r="73" ht="13.55" customHeight="1">
      <c r="A73" t="str" s="30" cm="1">
        <f t="array" ref="A73">IF($E73="","",COUNT($E$11:$E73))</f>
      </c>
      <c r="B73" s="39"/>
      <c r="C73" s="39"/>
      <c r="D73" s="39"/>
      <c r="E73" t="str" s="30" cm="1">
        <f t="array" ref="E73">IF($D73="","",_xlfn.IFERROR(IF($I73=-1,IF($D73&lt;0.5,$D73*86400,IF($D73&lt;100,$D73*1440,$D73)),IF($I73=2,VALUE(LEFT($D73,$J73-1))*3600+VALUE(MID($D73,$J73+1,$K73-$J73-1))*60,IF($I73=1,VALUE(LEFT($D73,$J73-1))*60,0))+IF($M73=0,VALUE($L73),VALUE(LEFT($L73,$M73-1))+VALUE(MID($L73,$M73+1,10))/10^(LEN($L73)-$M73))),""))</f>
      </c>
      <c r="F73" t="str" s="30" cm="1">
        <f t="array" ref="F73">IF($E73="","",MAX(0,$I$7-$E73))</f>
      </c>
      <c r="G73" t="str" s="30" cm="1">
        <f t="array" ref="G73">IF($E73="","",$F73*$D$7)</f>
      </c>
      <c r="H73" t="str" s="30" cm="1">
        <f t="array" ref="H73">IF($E73="","",$T73+IF(AND($V$6&gt;=$D$8,COUNT($E$11:$E73)=$V$7+1),$D$8,0))</f>
      </c>
      <c r="I73" t="str" s="30" cm="1">
        <f t="array" ref="I73">IF($D73="","",IF(ISTEXT($D73),LEN($D73)-LEN(SUBSTITUTE($D73,":","")),-1))</f>
      </c>
      <c r="J73" s="29" cm="1">
        <f t="array" ref="J73">_xlfn.IFERROR(FIND(":",$D73),0)</f>
        <v>0</v>
      </c>
      <c r="K73" s="29" cm="1">
        <f t="array" ref="K73">_xlfn.IFERROR(FIND(":",$D73,$J73+1),0)</f>
        <v>0</v>
      </c>
      <c r="L73" t="str" s="30" cm="1">
        <f t="array" ref="L73">IF($D73="","",IF($I73=2,MID($D73,$K73+1,10),IF($I73=1,MID($D73,$J73+1,10),IF($I73=0,$D73,""))))</f>
      </c>
      <c r="M73" s="29" cm="1">
        <f t="array" ref="M73">IF($L73="",0,_xlfn.IFERROR(FIND(".",SUBSTITUTE($L73,",",".")),0))</f>
        <v>0</v>
      </c>
      <c r="N73" s="29" cm="1">
        <f t="array" ref="N73">IF($E73="",10^9,$E73)</f>
        <v>1000000000</v>
      </c>
      <c r="O73" t="str" s="30" cm="1">
        <f t="array" ref="O73">IF($E73="","",SUM($E$11:$E73))</f>
      </c>
      <c r="P73" t="str" s="30" cm="1">
        <f t="array" ref="P73">IF($E73="","",($D$6/$D$7+$O73)/COUNT($E$11:$E73))</f>
      </c>
      <c r="Q73" s="29" cm="1">
        <f t="array" ref="Q73">IF($E73="",0,IF(AND($E73&lt;$P73,OR($E74="",$P73&lt;=$E74)),1,0))</f>
        <v>0</v>
      </c>
      <c r="R73" s="27" cm="1">
        <f t="array" ref="R73">IF($V$4=0,"",ROUND($V$4,1)-10+(73-11)*0.1)</f>
        <v>2519.3</v>
      </c>
      <c r="S73" s="28">
        <v>20000</v>
      </c>
      <c r="T73" t="str" s="30" cm="1">
        <f t="array" ref="T73">IF($E73="","",ROUND($G73/$D$8,0)*$D$8)</f>
      </c>
      <c r="U73" s="14"/>
      <c r="V73" s="8"/>
    </row>
    <row r="74" ht="13.55" customHeight="1">
      <c r="A74" t="str" s="30" cm="1">
        <f t="array" ref="A74">IF($E74="","",COUNT($E$11:$E74))</f>
      </c>
      <c r="B74" s="39"/>
      <c r="C74" s="39"/>
      <c r="D74" s="39"/>
      <c r="E74" t="str" s="30" cm="1">
        <f t="array" ref="E74">IF($D74="","",_xlfn.IFERROR(IF($I74=-1,IF($D74&lt;0.5,$D74*86400,IF($D74&lt;100,$D74*1440,$D74)),IF($I74=2,VALUE(LEFT($D74,$J74-1))*3600+VALUE(MID($D74,$J74+1,$K74-$J74-1))*60,IF($I74=1,VALUE(LEFT($D74,$J74-1))*60,0))+IF($M74=0,VALUE($L74),VALUE(LEFT($L74,$M74-1))+VALUE(MID($L74,$M74+1,10))/10^(LEN($L74)-$M74))),""))</f>
      </c>
      <c r="F74" t="str" s="30" cm="1">
        <f t="array" ref="F74">IF($E74="","",MAX(0,$I$7-$E74))</f>
      </c>
      <c r="G74" t="str" s="30" cm="1">
        <f t="array" ref="G74">IF($E74="","",$F74*$D$7)</f>
      </c>
      <c r="H74" t="str" s="30" cm="1">
        <f t="array" ref="H74">IF($E74="","",$T74+IF(AND($V$6&gt;=$D$8,COUNT($E$11:$E74)=$V$7+1),$D$8,0))</f>
      </c>
      <c r="I74" t="str" s="30" cm="1">
        <f t="array" ref="I74">IF($D74="","",IF(ISTEXT($D74),LEN($D74)-LEN(SUBSTITUTE($D74,":","")),-1))</f>
      </c>
      <c r="J74" s="29" cm="1">
        <f t="array" ref="J74">_xlfn.IFERROR(FIND(":",$D74),0)</f>
        <v>0</v>
      </c>
      <c r="K74" s="29" cm="1">
        <f t="array" ref="K74">_xlfn.IFERROR(FIND(":",$D74,$J74+1),0)</f>
        <v>0</v>
      </c>
      <c r="L74" t="str" s="30" cm="1">
        <f t="array" ref="L74">IF($D74="","",IF($I74=2,MID($D74,$K74+1,10),IF($I74=1,MID($D74,$J74+1,10),IF($I74=0,$D74,""))))</f>
      </c>
      <c r="M74" s="29" cm="1">
        <f t="array" ref="M74">IF($L74="",0,_xlfn.IFERROR(FIND(".",SUBSTITUTE($L74,",",".")),0))</f>
        <v>0</v>
      </c>
      <c r="N74" s="29" cm="1">
        <f t="array" ref="N74">IF($E74="",10^9,$E74)</f>
        <v>1000000000</v>
      </c>
      <c r="O74" t="str" s="30" cm="1">
        <f t="array" ref="O74">IF($E74="","",SUM($E$11:$E74))</f>
      </c>
      <c r="P74" t="str" s="30" cm="1">
        <f t="array" ref="P74">IF($E74="","",($D$6/$D$7+$O74)/COUNT($E$11:$E74))</f>
      </c>
      <c r="Q74" s="29" cm="1">
        <f t="array" ref="Q74">IF($E74="",0,IF(AND($E74&lt;$P74,OR($E75="",$P74&lt;=$E75)),1,0))</f>
        <v>0</v>
      </c>
      <c r="R74" s="27" cm="1">
        <f t="array" ref="R74">IF($V$4=0,"",ROUND($V$4,1)-10+(74-11)*0.1)</f>
        <v>2519.4</v>
      </c>
      <c r="S74" s="28">
        <v>20000</v>
      </c>
      <c r="T74" t="str" s="30" cm="1">
        <f t="array" ref="T74">IF($E74="","",ROUND($G74/$D$8,0)*$D$8)</f>
      </c>
      <c r="U74" s="14"/>
      <c r="V74" s="8"/>
    </row>
    <row r="75" ht="13.55" customHeight="1">
      <c r="A75" t="str" s="30" cm="1">
        <f t="array" ref="A75">IF($E75="","",COUNT($E$11:$E75))</f>
      </c>
      <c r="B75" s="39"/>
      <c r="C75" s="39"/>
      <c r="D75" s="39"/>
      <c r="E75" t="str" s="30" cm="1">
        <f t="array" ref="E75">IF($D75="","",_xlfn.IFERROR(IF($I75=-1,IF($D75&lt;0.5,$D75*86400,IF($D75&lt;100,$D75*1440,$D75)),IF($I75=2,VALUE(LEFT($D75,$J75-1))*3600+VALUE(MID($D75,$J75+1,$K75-$J75-1))*60,IF($I75=1,VALUE(LEFT($D75,$J75-1))*60,0))+IF($M75=0,VALUE($L75),VALUE(LEFT($L75,$M75-1))+VALUE(MID($L75,$M75+1,10))/10^(LEN($L75)-$M75))),""))</f>
      </c>
      <c r="F75" t="str" s="30" cm="1">
        <f t="array" ref="F75">IF($E75="","",MAX(0,$I$7-$E75))</f>
      </c>
      <c r="G75" t="str" s="30" cm="1">
        <f t="array" ref="G75">IF($E75="","",$F75*$D$7)</f>
      </c>
      <c r="H75" t="str" s="30" cm="1">
        <f t="array" ref="H75">IF($E75="","",$T75+IF(AND($V$6&gt;=$D$8,COUNT($E$11:$E75)=$V$7+1),$D$8,0))</f>
      </c>
      <c r="I75" t="str" s="30" cm="1">
        <f t="array" ref="I75">IF($D75="","",IF(ISTEXT($D75),LEN($D75)-LEN(SUBSTITUTE($D75,":","")),-1))</f>
      </c>
      <c r="J75" s="29" cm="1">
        <f t="array" ref="J75">_xlfn.IFERROR(FIND(":",$D75),0)</f>
        <v>0</v>
      </c>
      <c r="K75" s="29" cm="1">
        <f t="array" ref="K75">_xlfn.IFERROR(FIND(":",$D75,$J75+1),0)</f>
        <v>0</v>
      </c>
      <c r="L75" t="str" s="30" cm="1">
        <f t="array" ref="L75">IF($D75="","",IF($I75=2,MID($D75,$K75+1,10),IF($I75=1,MID($D75,$J75+1,10),IF($I75=0,$D75,""))))</f>
      </c>
      <c r="M75" s="29" cm="1">
        <f t="array" ref="M75">IF($L75="",0,_xlfn.IFERROR(FIND(".",SUBSTITUTE($L75,",",".")),0))</f>
        <v>0</v>
      </c>
      <c r="N75" s="29" cm="1">
        <f t="array" ref="N75">IF($E75="",10^9,$E75)</f>
        <v>1000000000</v>
      </c>
      <c r="O75" t="str" s="30" cm="1">
        <f t="array" ref="O75">IF($E75="","",SUM($E$11:$E75))</f>
      </c>
      <c r="P75" t="str" s="30" cm="1">
        <f t="array" ref="P75">IF($E75="","",($D$6/$D$7+$O75)/COUNT($E$11:$E75))</f>
      </c>
      <c r="Q75" s="29" cm="1">
        <f t="array" ref="Q75">IF($E75="",0,IF(AND($E75&lt;$P75,OR($E76="",$P75&lt;=$E76)),1,0))</f>
        <v>0</v>
      </c>
      <c r="R75" s="27" cm="1">
        <f t="array" ref="R75">IF($V$4=0,"",ROUND($V$4,1)-10+(75-11)*0.1)</f>
        <v>2519.5</v>
      </c>
      <c r="S75" s="28">
        <v>20000</v>
      </c>
      <c r="T75" t="str" s="30" cm="1">
        <f t="array" ref="T75">IF($E75="","",ROUND($G75/$D$8,0)*$D$8)</f>
      </c>
      <c r="U75" s="14"/>
      <c r="V75" s="8"/>
    </row>
    <row r="76" ht="13.55" customHeight="1">
      <c r="A76" t="str" s="30" cm="1">
        <f t="array" ref="A76">IF($E76="","",COUNT($E$11:$E76))</f>
      </c>
      <c r="B76" s="39"/>
      <c r="C76" s="39"/>
      <c r="D76" s="39"/>
      <c r="E76" t="str" s="30" cm="1">
        <f t="array" ref="E76">IF($D76="","",_xlfn.IFERROR(IF($I76=-1,IF($D76&lt;0.5,$D76*86400,IF($D76&lt;100,$D76*1440,$D76)),IF($I76=2,VALUE(LEFT($D76,$J76-1))*3600+VALUE(MID($D76,$J76+1,$K76-$J76-1))*60,IF($I76=1,VALUE(LEFT($D76,$J76-1))*60,0))+IF($M76=0,VALUE($L76),VALUE(LEFT($L76,$M76-1))+VALUE(MID($L76,$M76+1,10))/10^(LEN($L76)-$M76))),""))</f>
      </c>
      <c r="F76" t="str" s="30" cm="1">
        <f t="array" ref="F76">IF($E76="","",MAX(0,$I$7-$E76))</f>
      </c>
      <c r="G76" t="str" s="30" cm="1">
        <f t="array" ref="G76">IF($E76="","",$F76*$D$7)</f>
      </c>
      <c r="H76" t="str" s="30" cm="1">
        <f t="array" ref="H76">IF($E76="","",$T76+IF(AND($V$6&gt;=$D$8,COUNT($E$11:$E76)=$V$7+1),$D$8,0))</f>
      </c>
      <c r="I76" t="str" s="30" cm="1">
        <f t="array" ref="I76">IF($D76="","",IF(ISTEXT($D76),LEN($D76)-LEN(SUBSTITUTE($D76,":","")),-1))</f>
      </c>
      <c r="J76" s="29" cm="1">
        <f t="array" ref="J76">_xlfn.IFERROR(FIND(":",$D76),0)</f>
        <v>0</v>
      </c>
      <c r="K76" s="29" cm="1">
        <f t="array" ref="K76">_xlfn.IFERROR(FIND(":",$D76,$J76+1),0)</f>
        <v>0</v>
      </c>
      <c r="L76" t="str" s="30" cm="1">
        <f t="array" ref="L76">IF($D76="","",IF($I76=2,MID($D76,$K76+1,10),IF($I76=1,MID($D76,$J76+1,10),IF($I76=0,$D76,""))))</f>
      </c>
      <c r="M76" s="29" cm="1">
        <f t="array" ref="M76">IF($L76="",0,_xlfn.IFERROR(FIND(".",SUBSTITUTE($L76,",",".")),0))</f>
        <v>0</v>
      </c>
      <c r="N76" s="29" cm="1">
        <f t="array" ref="N76">IF($E76="",10^9,$E76)</f>
        <v>1000000000</v>
      </c>
      <c r="O76" t="str" s="30" cm="1">
        <f t="array" ref="O76">IF($E76="","",SUM($E$11:$E76))</f>
      </c>
      <c r="P76" t="str" s="30" cm="1">
        <f t="array" ref="P76">IF($E76="","",($D$6/$D$7+$O76)/COUNT($E$11:$E76))</f>
      </c>
      <c r="Q76" s="29" cm="1">
        <f t="array" ref="Q76">IF($E76="",0,IF(AND($E76&lt;$P76,OR($E77="",$P76&lt;=$E77)),1,0))</f>
        <v>0</v>
      </c>
      <c r="R76" s="27" cm="1">
        <f t="array" ref="R76">IF($V$4=0,"",ROUND($V$4,1)-10+(76-11)*0.1)</f>
        <v>2519.6</v>
      </c>
      <c r="S76" s="28">
        <v>20000</v>
      </c>
      <c r="T76" t="str" s="30" cm="1">
        <f t="array" ref="T76">IF($E76="","",ROUND($G76/$D$8,0)*$D$8)</f>
      </c>
      <c r="U76" s="14"/>
      <c r="V76" s="8"/>
    </row>
    <row r="77" ht="13.55" customHeight="1">
      <c r="A77" t="str" s="30" cm="1">
        <f t="array" ref="A77">IF($E77="","",COUNT($E$11:$E77))</f>
      </c>
      <c r="B77" s="39"/>
      <c r="C77" s="39"/>
      <c r="D77" s="39"/>
      <c r="E77" t="str" s="30" cm="1">
        <f t="array" ref="E77">IF($D77="","",_xlfn.IFERROR(IF($I77=-1,IF($D77&lt;0.5,$D77*86400,IF($D77&lt;100,$D77*1440,$D77)),IF($I77=2,VALUE(LEFT($D77,$J77-1))*3600+VALUE(MID($D77,$J77+1,$K77-$J77-1))*60,IF($I77=1,VALUE(LEFT($D77,$J77-1))*60,0))+IF($M77=0,VALUE($L77),VALUE(LEFT($L77,$M77-1))+VALUE(MID($L77,$M77+1,10))/10^(LEN($L77)-$M77))),""))</f>
      </c>
      <c r="F77" t="str" s="30" cm="1">
        <f t="array" ref="F77">IF($E77="","",MAX(0,$I$7-$E77))</f>
      </c>
      <c r="G77" t="str" s="30" cm="1">
        <f t="array" ref="G77">IF($E77="","",$F77*$D$7)</f>
      </c>
      <c r="H77" t="str" s="30" cm="1">
        <f t="array" ref="H77">IF($E77="","",$T77+IF(AND($V$6&gt;=$D$8,COUNT($E$11:$E77)=$V$7+1),$D$8,0))</f>
      </c>
      <c r="I77" t="str" s="30" cm="1">
        <f t="array" ref="I77">IF($D77="","",IF(ISTEXT($D77),LEN($D77)-LEN(SUBSTITUTE($D77,":","")),-1))</f>
      </c>
      <c r="J77" s="29" cm="1">
        <f t="array" ref="J77">_xlfn.IFERROR(FIND(":",$D77),0)</f>
        <v>0</v>
      </c>
      <c r="K77" s="29" cm="1">
        <f t="array" ref="K77">_xlfn.IFERROR(FIND(":",$D77,$J77+1),0)</f>
        <v>0</v>
      </c>
      <c r="L77" t="str" s="30" cm="1">
        <f t="array" ref="L77">IF($D77="","",IF($I77=2,MID($D77,$K77+1,10),IF($I77=1,MID($D77,$J77+1,10),IF($I77=0,$D77,""))))</f>
      </c>
      <c r="M77" s="29" cm="1">
        <f t="array" ref="M77">IF($L77="",0,_xlfn.IFERROR(FIND(".",SUBSTITUTE($L77,",",".")),0))</f>
        <v>0</v>
      </c>
      <c r="N77" s="29" cm="1">
        <f t="array" ref="N77">IF($E77="",10^9,$E77)</f>
        <v>1000000000</v>
      </c>
      <c r="O77" t="str" s="30" cm="1">
        <f t="array" ref="O77">IF($E77="","",SUM($E$11:$E77))</f>
      </c>
      <c r="P77" t="str" s="30" cm="1">
        <f t="array" ref="P77">IF($E77="","",($D$6/$D$7+$O77)/COUNT($E$11:$E77))</f>
      </c>
      <c r="Q77" s="29" cm="1">
        <f t="array" ref="Q77">IF($E77="",0,IF(AND($E77&lt;$P77,OR($E78="",$P77&lt;=$E78)),1,0))</f>
        <v>0</v>
      </c>
      <c r="R77" s="27" cm="1">
        <f t="array" ref="R77">IF($V$4=0,"",ROUND($V$4,1)-10+(77-11)*0.1)</f>
        <v>2519.7</v>
      </c>
      <c r="S77" s="28">
        <v>20000</v>
      </c>
      <c r="T77" t="str" s="30" cm="1">
        <f t="array" ref="T77">IF($E77="","",ROUND($G77/$D$8,0)*$D$8)</f>
      </c>
      <c r="U77" s="14"/>
      <c r="V77" s="8"/>
    </row>
    <row r="78" ht="13.55" customHeight="1">
      <c r="A78" t="str" s="30" cm="1">
        <f t="array" ref="A78">IF($E78="","",COUNT($E$11:$E78))</f>
      </c>
      <c r="B78" s="39"/>
      <c r="C78" s="39"/>
      <c r="D78" s="39"/>
      <c r="E78" t="str" s="30" cm="1">
        <f t="array" ref="E78">IF($D78="","",_xlfn.IFERROR(IF($I78=-1,IF($D78&lt;0.5,$D78*86400,IF($D78&lt;100,$D78*1440,$D78)),IF($I78=2,VALUE(LEFT($D78,$J78-1))*3600+VALUE(MID($D78,$J78+1,$K78-$J78-1))*60,IF($I78=1,VALUE(LEFT($D78,$J78-1))*60,0))+IF($M78=0,VALUE($L78),VALUE(LEFT($L78,$M78-1))+VALUE(MID($L78,$M78+1,10))/10^(LEN($L78)-$M78))),""))</f>
      </c>
      <c r="F78" t="str" s="30" cm="1">
        <f t="array" ref="F78">IF($E78="","",MAX(0,$I$7-$E78))</f>
      </c>
      <c r="G78" t="str" s="30" cm="1">
        <f t="array" ref="G78">IF($E78="","",$F78*$D$7)</f>
      </c>
      <c r="H78" t="str" s="30" cm="1">
        <f t="array" ref="H78">IF($E78="","",$T78+IF(AND($V$6&gt;=$D$8,COUNT($E$11:$E78)=$V$7+1),$D$8,0))</f>
      </c>
      <c r="I78" t="str" s="30" cm="1">
        <f t="array" ref="I78">IF($D78="","",IF(ISTEXT($D78),LEN($D78)-LEN(SUBSTITUTE($D78,":","")),-1))</f>
      </c>
      <c r="J78" s="29" cm="1">
        <f t="array" ref="J78">_xlfn.IFERROR(FIND(":",$D78),0)</f>
        <v>0</v>
      </c>
      <c r="K78" s="29" cm="1">
        <f t="array" ref="K78">_xlfn.IFERROR(FIND(":",$D78,$J78+1),0)</f>
        <v>0</v>
      </c>
      <c r="L78" t="str" s="30" cm="1">
        <f t="array" ref="L78">IF($D78="","",IF($I78=2,MID($D78,$K78+1,10),IF($I78=1,MID($D78,$J78+1,10),IF($I78=0,$D78,""))))</f>
      </c>
      <c r="M78" s="29" cm="1">
        <f t="array" ref="M78">IF($L78="",0,_xlfn.IFERROR(FIND(".",SUBSTITUTE($L78,",",".")),0))</f>
        <v>0</v>
      </c>
      <c r="N78" s="29" cm="1">
        <f t="array" ref="N78">IF($E78="",10^9,$E78)</f>
        <v>1000000000</v>
      </c>
      <c r="O78" t="str" s="30" cm="1">
        <f t="array" ref="O78">IF($E78="","",SUM($E$11:$E78))</f>
      </c>
      <c r="P78" t="str" s="30" cm="1">
        <f t="array" ref="P78">IF($E78="","",($D$6/$D$7+$O78)/COUNT($E$11:$E78))</f>
      </c>
      <c r="Q78" s="29" cm="1">
        <f t="array" ref="Q78">IF($E78="",0,IF(AND($E78&lt;$P78,OR($E79="",$P78&lt;=$E79)),1,0))</f>
        <v>0</v>
      </c>
      <c r="R78" s="27" cm="1">
        <f t="array" ref="R78">IF($V$4=0,"",ROUND($V$4,1)-10+(78-11)*0.1)</f>
        <v>2519.8</v>
      </c>
      <c r="S78" s="28">
        <v>20000</v>
      </c>
      <c r="T78" t="str" s="30" cm="1">
        <f t="array" ref="T78">IF($E78="","",ROUND($G78/$D$8,0)*$D$8)</f>
      </c>
      <c r="U78" s="14"/>
      <c r="V78" s="8"/>
    </row>
    <row r="79" ht="13.55" customHeight="1">
      <c r="A79" t="str" s="30" cm="1">
        <f t="array" ref="A79">IF($E79="","",COUNT($E$11:$E79))</f>
      </c>
      <c r="B79" s="39"/>
      <c r="C79" s="39"/>
      <c r="D79" s="39"/>
      <c r="E79" t="str" s="30" cm="1">
        <f t="array" ref="E79">IF($D79="","",_xlfn.IFERROR(IF($I79=-1,IF($D79&lt;0.5,$D79*86400,IF($D79&lt;100,$D79*1440,$D79)),IF($I79=2,VALUE(LEFT($D79,$J79-1))*3600+VALUE(MID($D79,$J79+1,$K79-$J79-1))*60,IF($I79=1,VALUE(LEFT($D79,$J79-1))*60,0))+IF($M79=0,VALUE($L79),VALUE(LEFT($L79,$M79-1))+VALUE(MID($L79,$M79+1,10))/10^(LEN($L79)-$M79))),""))</f>
      </c>
      <c r="F79" t="str" s="30" cm="1">
        <f t="array" ref="F79">IF($E79="","",MAX(0,$I$7-$E79))</f>
      </c>
      <c r="G79" t="str" s="30" cm="1">
        <f t="array" ref="G79">IF($E79="","",$F79*$D$7)</f>
      </c>
      <c r="H79" t="str" s="30" cm="1">
        <f t="array" ref="H79">IF($E79="","",$T79+IF(AND($V$6&gt;=$D$8,COUNT($E$11:$E79)=$V$7+1),$D$8,0))</f>
      </c>
      <c r="I79" t="str" s="30" cm="1">
        <f t="array" ref="I79">IF($D79="","",IF(ISTEXT($D79),LEN($D79)-LEN(SUBSTITUTE($D79,":","")),-1))</f>
      </c>
      <c r="J79" s="29" cm="1">
        <f t="array" ref="J79">_xlfn.IFERROR(FIND(":",$D79),0)</f>
        <v>0</v>
      </c>
      <c r="K79" s="29" cm="1">
        <f t="array" ref="K79">_xlfn.IFERROR(FIND(":",$D79,$J79+1),0)</f>
        <v>0</v>
      </c>
      <c r="L79" t="str" s="30" cm="1">
        <f t="array" ref="L79">IF($D79="","",IF($I79=2,MID($D79,$K79+1,10),IF($I79=1,MID($D79,$J79+1,10),IF($I79=0,$D79,""))))</f>
      </c>
      <c r="M79" s="29" cm="1">
        <f t="array" ref="M79">IF($L79="",0,_xlfn.IFERROR(FIND(".",SUBSTITUTE($L79,",",".")),0))</f>
        <v>0</v>
      </c>
      <c r="N79" s="29" cm="1">
        <f t="array" ref="N79">IF($E79="",10^9,$E79)</f>
        <v>1000000000</v>
      </c>
      <c r="O79" t="str" s="30" cm="1">
        <f t="array" ref="O79">IF($E79="","",SUM($E$11:$E79))</f>
      </c>
      <c r="P79" t="str" s="30" cm="1">
        <f t="array" ref="P79">IF($E79="","",($D$6/$D$7+$O79)/COUNT($E$11:$E79))</f>
      </c>
      <c r="Q79" s="29" cm="1">
        <f t="array" ref="Q79">IF($E79="",0,IF(AND($E79&lt;$P79,OR($E80="",$P79&lt;=$E80)),1,0))</f>
        <v>0</v>
      </c>
      <c r="R79" s="27" cm="1">
        <f t="array" ref="R79">IF($V$4=0,"",ROUND($V$4,1)-10+(79-11)*0.1)</f>
        <v>2519.9</v>
      </c>
      <c r="S79" s="28">
        <v>20000</v>
      </c>
      <c r="T79" t="str" s="30" cm="1">
        <f t="array" ref="T79">IF($E79="","",ROUND($G79/$D$8,0)*$D$8)</f>
      </c>
      <c r="U79" s="14"/>
      <c r="V79" s="8"/>
    </row>
    <row r="80" ht="13.55" customHeight="1">
      <c r="A80" t="str" s="30" cm="1">
        <f t="array" ref="A80">IF($E80="","",COUNT($E$11:$E80))</f>
      </c>
      <c r="B80" s="39"/>
      <c r="C80" s="39"/>
      <c r="D80" s="39"/>
      <c r="E80" t="str" s="30" cm="1">
        <f t="array" ref="E80">IF($D80="","",_xlfn.IFERROR(IF($I80=-1,IF($D80&lt;0.5,$D80*86400,IF($D80&lt;100,$D80*1440,$D80)),IF($I80=2,VALUE(LEFT($D80,$J80-1))*3600+VALUE(MID($D80,$J80+1,$K80-$J80-1))*60,IF($I80=1,VALUE(LEFT($D80,$J80-1))*60,0))+IF($M80=0,VALUE($L80),VALUE(LEFT($L80,$M80-1))+VALUE(MID($L80,$M80+1,10))/10^(LEN($L80)-$M80))),""))</f>
      </c>
      <c r="F80" t="str" s="30" cm="1">
        <f t="array" ref="F80">IF($E80="","",MAX(0,$I$7-$E80))</f>
      </c>
      <c r="G80" t="str" s="30" cm="1">
        <f t="array" ref="G80">IF($E80="","",$F80*$D$7)</f>
      </c>
      <c r="H80" t="str" s="30" cm="1">
        <f t="array" ref="H80">IF($E80="","",$T80+IF(AND($V$6&gt;=$D$8,COUNT($E$11:$E80)=$V$7+1),$D$8,0))</f>
      </c>
      <c r="I80" t="str" s="30" cm="1">
        <f t="array" ref="I80">IF($D80="","",IF(ISTEXT($D80),LEN($D80)-LEN(SUBSTITUTE($D80,":","")),-1))</f>
      </c>
      <c r="J80" s="29" cm="1">
        <f t="array" ref="J80">_xlfn.IFERROR(FIND(":",$D80),0)</f>
        <v>0</v>
      </c>
      <c r="K80" s="29" cm="1">
        <f t="array" ref="K80">_xlfn.IFERROR(FIND(":",$D80,$J80+1),0)</f>
        <v>0</v>
      </c>
      <c r="L80" t="str" s="30" cm="1">
        <f t="array" ref="L80">IF($D80="","",IF($I80=2,MID($D80,$K80+1,10),IF($I80=1,MID($D80,$J80+1,10),IF($I80=0,$D80,""))))</f>
      </c>
      <c r="M80" s="29" cm="1">
        <f t="array" ref="M80">IF($L80="",0,_xlfn.IFERROR(FIND(".",SUBSTITUTE($L80,",",".")),0))</f>
        <v>0</v>
      </c>
      <c r="N80" s="29" cm="1">
        <f t="array" ref="N80">IF($E80="",10^9,$E80)</f>
        <v>1000000000</v>
      </c>
      <c r="O80" t="str" s="30" cm="1">
        <f t="array" ref="O80">IF($E80="","",SUM($E$11:$E80))</f>
      </c>
      <c r="P80" t="str" s="30" cm="1">
        <f t="array" ref="P80">IF($E80="","",($D$6/$D$7+$O80)/COUNT($E$11:$E80))</f>
      </c>
      <c r="Q80" s="29" cm="1">
        <f t="array" ref="Q80">IF($E80="",0,IF(AND($E80&lt;$P80,OR($E81="",$P80&lt;=$E81)),1,0))</f>
        <v>0</v>
      </c>
      <c r="R80" s="27" cm="1">
        <f t="array" ref="R80">IF($V$4=0,"",ROUND($V$4,1)-10+(80-11)*0.1)</f>
        <v>2520</v>
      </c>
      <c r="S80" s="28">
        <v>20000</v>
      </c>
      <c r="T80" t="str" s="30" cm="1">
        <f t="array" ref="T80">IF($E80="","",ROUND($G80/$D$8,0)*$D$8)</f>
      </c>
      <c r="U80" s="14"/>
      <c r="V80" s="8"/>
    </row>
    <row r="81" ht="13.55" customHeight="1">
      <c r="A81" t="str" s="30" cm="1">
        <f t="array" ref="A81">IF($E81="","",COUNT($E$11:$E81))</f>
      </c>
      <c r="B81" s="39"/>
      <c r="C81" s="39"/>
      <c r="D81" s="39"/>
      <c r="E81" t="str" s="30" cm="1">
        <f t="array" ref="E81">IF($D81="","",_xlfn.IFERROR(IF($I81=-1,IF($D81&lt;0.5,$D81*86400,IF($D81&lt;100,$D81*1440,$D81)),IF($I81=2,VALUE(LEFT($D81,$J81-1))*3600+VALUE(MID($D81,$J81+1,$K81-$J81-1))*60,IF($I81=1,VALUE(LEFT($D81,$J81-1))*60,0))+IF($M81=0,VALUE($L81),VALUE(LEFT($L81,$M81-1))+VALUE(MID($L81,$M81+1,10))/10^(LEN($L81)-$M81))),""))</f>
      </c>
      <c r="F81" t="str" s="30" cm="1">
        <f t="array" ref="F81">IF($E81="","",MAX(0,$I$7-$E81))</f>
      </c>
      <c r="G81" t="str" s="30" cm="1">
        <f t="array" ref="G81">IF($E81="","",$F81*$D$7)</f>
      </c>
      <c r="H81" t="str" s="30" cm="1">
        <f t="array" ref="H81">IF($E81="","",$T81+IF(AND($V$6&gt;=$D$8,COUNT($E$11:$E81)=$V$7+1),$D$8,0))</f>
      </c>
      <c r="I81" t="str" s="30" cm="1">
        <f t="array" ref="I81">IF($D81="","",IF(ISTEXT($D81),LEN($D81)-LEN(SUBSTITUTE($D81,":","")),-1))</f>
      </c>
      <c r="J81" s="29" cm="1">
        <f t="array" ref="J81">_xlfn.IFERROR(FIND(":",$D81),0)</f>
        <v>0</v>
      </c>
      <c r="K81" s="29" cm="1">
        <f t="array" ref="K81">_xlfn.IFERROR(FIND(":",$D81,$J81+1),0)</f>
        <v>0</v>
      </c>
      <c r="L81" t="str" s="30" cm="1">
        <f t="array" ref="L81">IF($D81="","",IF($I81=2,MID($D81,$K81+1,10),IF($I81=1,MID($D81,$J81+1,10),IF($I81=0,$D81,""))))</f>
      </c>
      <c r="M81" s="29" cm="1">
        <f t="array" ref="M81">IF($L81="",0,_xlfn.IFERROR(FIND(".",SUBSTITUTE($L81,",",".")),0))</f>
        <v>0</v>
      </c>
      <c r="N81" s="29" cm="1">
        <f t="array" ref="N81">IF($E81="",10^9,$E81)</f>
        <v>1000000000</v>
      </c>
      <c r="O81" t="str" s="30" cm="1">
        <f t="array" ref="O81">IF($E81="","",SUM($E$11:$E81))</f>
      </c>
      <c r="P81" t="str" s="30" cm="1">
        <f t="array" ref="P81">IF($E81="","",($D$6/$D$7+$O81)/COUNT($E$11:$E81))</f>
      </c>
      <c r="Q81" s="29" cm="1">
        <f t="array" ref="Q81">IF($E81="",0,IF(AND($E81&lt;$P81,OR($E82="",$P81&lt;=$E82)),1,0))</f>
        <v>0</v>
      </c>
      <c r="R81" s="27" cm="1">
        <f t="array" ref="R81">IF($V$4=0,"",ROUND($V$4,1)-10+(81-11)*0.1)</f>
        <v>2520.1</v>
      </c>
      <c r="S81" s="28">
        <v>20000</v>
      </c>
      <c r="T81" t="str" s="30" cm="1">
        <f t="array" ref="T81">IF($E81="","",ROUND($G81/$D$8,0)*$D$8)</f>
      </c>
      <c r="U81" s="14"/>
      <c r="V81" s="8"/>
    </row>
    <row r="82" ht="13.55" customHeight="1">
      <c r="A82" t="str" s="30" cm="1">
        <f t="array" ref="A82">IF($E82="","",COUNT($E$11:$E82))</f>
      </c>
      <c r="B82" s="39"/>
      <c r="C82" s="39"/>
      <c r="D82" s="39"/>
      <c r="E82" t="str" s="30" cm="1">
        <f t="array" ref="E82">IF($D82="","",_xlfn.IFERROR(IF($I82=-1,IF($D82&lt;0.5,$D82*86400,IF($D82&lt;100,$D82*1440,$D82)),IF($I82=2,VALUE(LEFT($D82,$J82-1))*3600+VALUE(MID($D82,$J82+1,$K82-$J82-1))*60,IF($I82=1,VALUE(LEFT($D82,$J82-1))*60,0))+IF($M82=0,VALUE($L82),VALUE(LEFT($L82,$M82-1))+VALUE(MID($L82,$M82+1,10))/10^(LEN($L82)-$M82))),""))</f>
      </c>
      <c r="F82" t="str" s="30" cm="1">
        <f t="array" ref="F82">IF($E82="","",MAX(0,$I$7-$E82))</f>
      </c>
      <c r="G82" t="str" s="30" cm="1">
        <f t="array" ref="G82">IF($E82="","",$F82*$D$7)</f>
      </c>
      <c r="H82" t="str" s="30" cm="1">
        <f t="array" ref="H82">IF($E82="","",$T82+IF(AND($V$6&gt;=$D$8,COUNT($E$11:$E82)=$V$7+1),$D$8,0))</f>
      </c>
      <c r="I82" t="str" s="30" cm="1">
        <f t="array" ref="I82">IF($D82="","",IF(ISTEXT($D82),LEN($D82)-LEN(SUBSTITUTE($D82,":","")),-1))</f>
      </c>
      <c r="J82" s="29" cm="1">
        <f t="array" ref="J82">_xlfn.IFERROR(FIND(":",$D82),0)</f>
        <v>0</v>
      </c>
      <c r="K82" s="29" cm="1">
        <f t="array" ref="K82">_xlfn.IFERROR(FIND(":",$D82,$J82+1),0)</f>
        <v>0</v>
      </c>
      <c r="L82" t="str" s="30" cm="1">
        <f t="array" ref="L82">IF($D82="","",IF($I82=2,MID($D82,$K82+1,10),IF($I82=1,MID($D82,$J82+1,10),IF($I82=0,$D82,""))))</f>
      </c>
      <c r="M82" s="29" cm="1">
        <f t="array" ref="M82">IF($L82="",0,_xlfn.IFERROR(FIND(".",SUBSTITUTE($L82,",",".")),0))</f>
        <v>0</v>
      </c>
      <c r="N82" s="29" cm="1">
        <f t="array" ref="N82">IF($E82="",10^9,$E82)</f>
        <v>1000000000</v>
      </c>
      <c r="O82" t="str" s="30" cm="1">
        <f t="array" ref="O82">IF($E82="","",SUM($E$11:$E82))</f>
      </c>
      <c r="P82" t="str" s="30" cm="1">
        <f t="array" ref="P82">IF($E82="","",($D$6/$D$7+$O82)/COUNT($E$11:$E82))</f>
      </c>
      <c r="Q82" s="29" cm="1">
        <f t="array" ref="Q82">IF($E82="",0,IF(AND($E82&lt;$P82,OR($E83="",$P82&lt;=$E83)),1,0))</f>
        <v>0</v>
      </c>
      <c r="R82" s="27" cm="1">
        <f t="array" ref="R82">IF($V$4=0,"",ROUND($V$4,1)-10+(82-11)*0.1)</f>
        <v>2520.2</v>
      </c>
      <c r="S82" s="28">
        <v>20000</v>
      </c>
      <c r="T82" t="str" s="30" cm="1">
        <f t="array" ref="T82">IF($E82="","",ROUND($G82/$D$8,0)*$D$8)</f>
      </c>
      <c r="U82" s="14"/>
      <c r="V82" s="8"/>
    </row>
    <row r="83" ht="13.55" customHeight="1">
      <c r="A83" t="str" s="30" cm="1">
        <f t="array" ref="A83">IF($E83="","",COUNT($E$11:$E83))</f>
      </c>
      <c r="B83" s="39"/>
      <c r="C83" s="39"/>
      <c r="D83" s="39"/>
      <c r="E83" t="str" s="30" cm="1">
        <f t="array" ref="E83">IF($D83="","",_xlfn.IFERROR(IF($I83=-1,IF($D83&lt;0.5,$D83*86400,IF($D83&lt;100,$D83*1440,$D83)),IF($I83=2,VALUE(LEFT($D83,$J83-1))*3600+VALUE(MID($D83,$J83+1,$K83-$J83-1))*60,IF($I83=1,VALUE(LEFT($D83,$J83-1))*60,0))+IF($M83=0,VALUE($L83),VALUE(LEFT($L83,$M83-1))+VALUE(MID($L83,$M83+1,10))/10^(LEN($L83)-$M83))),""))</f>
      </c>
      <c r="F83" t="str" s="30" cm="1">
        <f t="array" ref="F83">IF($E83="","",MAX(0,$I$7-$E83))</f>
      </c>
      <c r="G83" t="str" s="30" cm="1">
        <f t="array" ref="G83">IF($E83="","",$F83*$D$7)</f>
      </c>
      <c r="H83" t="str" s="30" cm="1">
        <f t="array" ref="H83">IF($E83="","",$T83+IF(AND($V$6&gt;=$D$8,COUNT($E$11:$E83)=$V$7+1),$D$8,0))</f>
      </c>
      <c r="I83" t="str" s="30" cm="1">
        <f t="array" ref="I83">IF($D83="","",IF(ISTEXT($D83),LEN($D83)-LEN(SUBSTITUTE($D83,":","")),-1))</f>
      </c>
      <c r="J83" s="29" cm="1">
        <f t="array" ref="J83">_xlfn.IFERROR(FIND(":",$D83),0)</f>
        <v>0</v>
      </c>
      <c r="K83" s="29" cm="1">
        <f t="array" ref="K83">_xlfn.IFERROR(FIND(":",$D83,$J83+1),0)</f>
        <v>0</v>
      </c>
      <c r="L83" t="str" s="30" cm="1">
        <f t="array" ref="L83">IF($D83="","",IF($I83=2,MID($D83,$K83+1,10),IF($I83=1,MID($D83,$J83+1,10),IF($I83=0,$D83,""))))</f>
      </c>
      <c r="M83" s="29" cm="1">
        <f t="array" ref="M83">IF($L83="",0,_xlfn.IFERROR(FIND(".",SUBSTITUTE($L83,",",".")),0))</f>
        <v>0</v>
      </c>
      <c r="N83" s="29" cm="1">
        <f t="array" ref="N83">IF($E83="",10^9,$E83)</f>
        <v>1000000000</v>
      </c>
      <c r="O83" t="str" s="30" cm="1">
        <f t="array" ref="O83">IF($E83="","",SUM($E$11:$E83))</f>
      </c>
      <c r="P83" t="str" s="30" cm="1">
        <f t="array" ref="P83">IF($E83="","",($D$6/$D$7+$O83)/COUNT($E$11:$E83))</f>
      </c>
      <c r="Q83" s="29" cm="1">
        <f t="array" ref="Q83">IF($E83="",0,IF(AND($E83&lt;$P83,OR($E84="",$P83&lt;=$E84)),1,0))</f>
        <v>0</v>
      </c>
      <c r="R83" s="27" cm="1">
        <f t="array" ref="R83">IF($V$4=0,"",ROUND($V$4,1)-10+(83-11)*0.1)</f>
        <v>2520.3</v>
      </c>
      <c r="S83" s="28">
        <v>20000</v>
      </c>
      <c r="T83" t="str" s="30" cm="1">
        <f t="array" ref="T83">IF($E83="","",ROUND($G83/$D$8,0)*$D$8)</f>
      </c>
      <c r="U83" s="14"/>
      <c r="V83" s="8"/>
    </row>
    <row r="84" ht="13.55" customHeight="1">
      <c r="A84" t="str" s="30" cm="1">
        <f t="array" ref="A84">IF($E84="","",COUNT($E$11:$E84))</f>
      </c>
      <c r="B84" s="39"/>
      <c r="C84" s="39"/>
      <c r="D84" s="39"/>
      <c r="E84" t="str" s="30" cm="1">
        <f t="array" ref="E84">IF($D84="","",_xlfn.IFERROR(IF($I84=-1,IF($D84&lt;0.5,$D84*86400,IF($D84&lt;100,$D84*1440,$D84)),IF($I84=2,VALUE(LEFT($D84,$J84-1))*3600+VALUE(MID($D84,$J84+1,$K84-$J84-1))*60,IF($I84=1,VALUE(LEFT($D84,$J84-1))*60,0))+IF($M84=0,VALUE($L84),VALUE(LEFT($L84,$M84-1))+VALUE(MID($L84,$M84+1,10))/10^(LEN($L84)-$M84))),""))</f>
      </c>
      <c r="F84" t="str" s="30" cm="1">
        <f t="array" ref="F84">IF($E84="","",MAX(0,$I$7-$E84))</f>
      </c>
      <c r="G84" t="str" s="30" cm="1">
        <f t="array" ref="G84">IF($E84="","",$F84*$D$7)</f>
      </c>
      <c r="H84" t="str" s="30" cm="1">
        <f t="array" ref="H84">IF($E84="","",$T84+IF(AND($V$6&gt;=$D$8,COUNT($E$11:$E84)=$V$7+1),$D$8,0))</f>
      </c>
      <c r="I84" t="str" s="30" cm="1">
        <f t="array" ref="I84">IF($D84="","",IF(ISTEXT($D84),LEN($D84)-LEN(SUBSTITUTE($D84,":","")),-1))</f>
      </c>
      <c r="J84" s="29" cm="1">
        <f t="array" ref="J84">_xlfn.IFERROR(FIND(":",$D84),0)</f>
        <v>0</v>
      </c>
      <c r="K84" s="29" cm="1">
        <f t="array" ref="K84">_xlfn.IFERROR(FIND(":",$D84,$J84+1),0)</f>
        <v>0</v>
      </c>
      <c r="L84" t="str" s="30" cm="1">
        <f t="array" ref="L84">IF($D84="","",IF($I84=2,MID($D84,$K84+1,10),IF($I84=1,MID($D84,$J84+1,10),IF($I84=0,$D84,""))))</f>
      </c>
      <c r="M84" s="29" cm="1">
        <f t="array" ref="M84">IF($L84="",0,_xlfn.IFERROR(FIND(".",SUBSTITUTE($L84,",",".")),0))</f>
        <v>0</v>
      </c>
      <c r="N84" s="29" cm="1">
        <f t="array" ref="N84">IF($E84="",10^9,$E84)</f>
        <v>1000000000</v>
      </c>
      <c r="O84" t="str" s="30" cm="1">
        <f t="array" ref="O84">IF($E84="","",SUM($E$11:$E84))</f>
      </c>
      <c r="P84" t="str" s="30" cm="1">
        <f t="array" ref="P84">IF($E84="","",($D$6/$D$7+$O84)/COUNT($E$11:$E84))</f>
      </c>
      <c r="Q84" s="29" cm="1">
        <f t="array" ref="Q84">IF($E84="",0,IF(AND($E84&lt;$P84,OR($E85="",$P84&lt;=$E85)),1,0))</f>
        <v>0</v>
      </c>
      <c r="R84" s="27" cm="1">
        <f t="array" ref="R84">IF($V$4=0,"",ROUND($V$4,1)-10+(84-11)*0.1)</f>
        <v>2520.4</v>
      </c>
      <c r="S84" s="28">
        <v>20000</v>
      </c>
      <c r="T84" t="str" s="30" cm="1">
        <f t="array" ref="T84">IF($E84="","",ROUND($G84/$D$8,0)*$D$8)</f>
      </c>
      <c r="U84" s="14"/>
      <c r="V84" s="8"/>
    </row>
    <row r="85" ht="13.55" customHeight="1">
      <c r="A85" t="str" s="30" cm="1">
        <f t="array" ref="A85">IF($E85="","",COUNT($E$11:$E85))</f>
      </c>
      <c r="B85" s="39"/>
      <c r="C85" s="39"/>
      <c r="D85" s="39"/>
      <c r="E85" t="str" s="30" cm="1">
        <f t="array" ref="E85">IF($D85="","",_xlfn.IFERROR(IF($I85=-1,IF($D85&lt;0.5,$D85*86400,IF($D85&lt;100,$D85*1440,$D85)),IF($I85=2,VALUE(LEFT($D85,$J85-1))*3600+VALUE(MID($D85,$J85+1,$K85-$J85-1))*60,IF($I85=1,VALUE(LEFT($D85,$J85-1))*60,0))+IF($M85=0,VALUE($L85),VALUE(LEFT($L85,$M85-1))+VALUE(MID($L85,$M85+1,10))/10^(LEN($L85)-$M85))),""))</f>
      </c>
      <c r="F85" t="str" s="30" cm="1">
        <f t="array" ref="F85">IF($E85="","",MAX(0,$I$7-$E85))</f>
      </c>
      <c r="G85" t="str" s="30" cm="1">
        <f t="array" ref="G85">IF($E85="","",$F85*$D$7)</f>
      </c>
      <c r="H85" t="str" s="30" cm="1">
        <f t="array" ref="H85">IF($E85="","",$T85+IF(AND($V$6&gt;=$D$8,COUNT($E$11:$E85)=$V$7+1),$D$8,0))</f>
      </c>
      <c r="I85" t="str" s="30" cm="1">
        <f t="array" ref="I85">IF($D85="","",IF(ISTEXT($D85),LEN($D85)-LEN(SUBSTITUTE($D85,":","")),-1))</f>
      </c>
      <c r="J85" s="29" cm="1">
        <f t="array" ref="J85">_xlfn.IFERROR(FIND(":",$D85),0)</f>
        <v>0</v>
      </c>
      <c r="K85" s="29" cm="1">
        <f t="array" ref="K85">_xlfn.IFERROR(FIND(":",$D85,$J85+1),0)</f>
        <v>0</v>
      </c>
      <c r="L85" t="str" s="30" cm="1">
        <f t="array" ref="L85">IF($D85="","",IF($I85=2,MID($D85,$K85+1,10),IF($I85=1,MID($D85,$J85+1,10),IF($I85=0,$D85,""))))</f>
      </c>
      <c r="M85" s="29" cm="1">
        <f t="array" ref="M85">IF($L85="",0,_xlfn.IFERROR(FIND(".",SUBSTITUTE($L85,",",".")),0))</f>
        <v>0</v>
      </c>
      <c r="N85" s="29" cm="1">
        <f t="array" ref="N85">IF($E85="",10^9,$E85)</f>
        <v>1000000000</v>
      </c>
      <c r="O85" t="str" s="30" cm="1">
        <f t="array" ref="O85">IF($E85="","",SUM($E$11:$E85))</f>
      </c>
      <c r="P85" t="str" s="30" cm="1">
        <f t="array" ref="P85">IF($E85="","",($D$6/$D$7+$O85)/COUNT($E$11:$E85))</f>
      </c>
      <c r="Q85" s="29" cm="1">
        <f t="array" ref="Q85">IF($E85="",0,IF(AND($E85&lt;$P85,OR($E86="",$P85&lt;=$E86)),1,0))</f>
        <v>0</v>
      </c>
      <c r="R85" s="27" cm="1">
        <f t="array" ref="R85">IF($V$4=0,"",ROUND($V$4,1)-10+(85-11)*0.1)</f>
        <v>2520.5</v>
      </c>
      <c r="S85" s="28">
        <v>20000</v>
      </c>
      <c r="T85" t="str" s="30" cm="1">
        <f t="array" ref="T85">IF($E85="","",ROUND($G85/$D$8,0)*$D$8)</f>
      </c>
      <c r="U85" s="14"/>
      <c r="V85" s="8"/>
    </row>
    <row r="86" ht="13.55" customHeight="1">
      <c r="A86" t="str" s="30" cm="1">
        <f t="array" ref="A86">IF($E86="","",COUNT($E$11:$E86))</f>
      </c>
      <c r="B86" s="39"/>
      <c r="C86" s="39"/>
      <c r="D86" s="39"/>
      <c r="E86" t="str" s="30" cm="1">
        <f t="array" ref="E86">IF($D86="","",_xlfn.IFERROR(IF($I86=-1,IF($D86&lt;0.5,$D86*86400,IF($D86&lt;100,$D86*1440,$D86)),IF($I86=2,VALUE(LEFT($D86,$J86-1))*3600+VALUE(MID($D86,$J86+1,$K86-$J86-1))*60,IF($I86=1,VALUE(LEFT($D86,$J86-1))*60,0))+IF($M86=0,VALUE($L86),VALUE(LEFT($L86,$M86-1))+VALUE(MID($L86,$M86+1,10))/10^(LEN($L86)-$M86))),""))</f>
      </c>
      <c r="F86" t="str" s="30" cm="1">
        <f t="array" ref="F86">IF($E86="","",MAX(0,$I$7-$E86))</f>
      </c>
      <c r="G86" t="str" s="30" cm="1">
        <f t="array" ref="G86">IF($E86="","",$F86*$D$7)</f>
      </c>
      <c r="H86" t="str" s="30" cm="1">
        <f t="array" ref="H86">IF($E86="","",$T86+IF(AND($V$6&gt;=$D$8,COUNT($E$11:$E86)=$V$7+1),$D$8,0))</f>
      </c>
      <c r="I86" t="str" s="30" cm="1">
        <f t="array" ref="I86">IF($D86="","",IF(ISTEXT($D86),LEN($D86)-LEN(SUBSTITUTE($D86,":","")),-1))</f>
      </c>
      <c r="J86" s="29" cm="1">
        <f t="array" ref="J86">_xlfn.IFERROR(FIND(":",$D86),0)</f>
        <v>0</v>
      </c>
      <c r="K86" s="29" cm="1">
        <f t="array" ref="K86">_xlfn.IFERROR(FIND(":",$D86,$J86+1),0)</f>
        <v>0</v>
      </c>
      <c r="L86" t="str" s="30" cm="1">
        <f t="array" ref="L86">IF($D86="","",IF($I86=2,MID($D86,$K86+1,10),IF($I86=1,MID($D86,$J86+1,10),IF($I86=0,$D86,""))))</f>
      </c>
      <c r="M86" s="29" cm="1">
        <f t="array" ref="M86">IF($L86="",0,_xlfn.IFERROR(FIND(".",SUBSTITUTE($L86,",",".")),0))</f>
        <v>0</v>
      </c>
      <c r="N86" s="29" cm="1">
        <f t="array" ref="N86">IF($E86="",10^9,$E86)</f>
        <v>1000000000</v>
      </c>
      <c r="O86" t="str" s="30" cm="1">
        <f t="array" ref="O86">IF($E86="","",SUM($E$11:$E86))</f>
      </c>
      <c r="P86" t="str" s="30" cm="1">
        <f t="array" ref="P86">IF($E86="","",($D$6/$D$7+$O86)/COUNT($E$11:$E86))</f>
      </c>
      <c r="Q86" s="29" cm="1">
        <f t="array" ref="Q86">IF($E86="",0,IF(AND($E86&lt;$P86,OR($E87="",$P86&lt;=$E87)),1,0))</f>
        <v>0</v>
      </c>
      <c r="R86" s="27" cm="1">
        <f t="array" ref="R86">IF($V$4=0,"",ROUND($V$4,1)-10+(86-11)*0.1)</f>
        <v>2520.6</v>
      </c>
      <c r="S86" s="28">
        <v>20000</v>
      </c>
      <c r="T86" t="str" s="30" cm="1">
        <f t="array" ref="T86">IF($E86="","",ROUND($G86/$D$8,0)*$D$8)</f>
      </c>
      <c r="U86" s="14"/>
      <c r="V86" s="8"/>
    </row>
    <row r="87" ht="13.55" customHeight="1">
      <c r="A87" t="str" s="30" cm="1">
        <f t="array" ref="A87">IF($E87="","",COUNT($E$11:$E87))</f>
      </c>
      <c r="B87" s="39"/>
      <c r="C87" s="39"/>
      <c r="D87" s="39"/>
      <c r="E87" t="str" s="30" cm="1">
        <f t="array" ref="E87">IF($D87="","",_xlfn.IFERROR(IF($I87=-1,IF($D87&lt;0.5,$D87*86400,IF($D87&lt;100,$D87*1440,$D87)),IF($I87=2,VALUE(LEFT($D87,$J87-1))*3600+VALUE(MID($D87,$J87+1,$K87-$J87-1))*60,IF($I87=1,VALUE(LEFT($D87,$J87-1))*60,0))+IF($M87=0,VALUE($L87),VALUE(LEFT($L87,$M87-1))+VALUE(MID($L87,$M87+1,10))/10^(LEN($L87)-$M87))),""))</f>
      </c>
      <c r="F87" t="str" s="30" cm="1">
        <f t="array" ref="F87">IF($E87="","",MAX(0,$I$7-$E87))</f>
      </c>
      <c r="G87" t="str" s="30" cm="1">
        <f t="array" ref="G87">IF($E87="","",$F87*$D$7)</f>
      </c>
      <c r="H87" t="str" s="30" cm="1">
        <f t="array" ref="H87">IF($E87="","",$T87+IF(AND($V$6&gt;=$D$8,COUNT($E$11:$E87)=$V$7+1),$D$8,0))</f>
      </c>
      <c r="I87" t="str" s="30" cm="1">
        <f t="array" ref="I87">IF($D87="","",IF(ISTEXT($D87),LEN($D87)-LEN(SUBSTITUTE($D87,":","")),-1))</f>
      </c>
      <c r="J87" s="29" cm="1">
        <f t="array" ref="J87">_xlfn.IFERROR(FIND(":",$D87),0)</f>
        <v>0</v>
      </c>
      <c r="K87" s="29" cm="1">
        <f t="array" ref="K87">_xlfn.IFERROR(FIND(":",$D87,$J87+1),0)</f>
        <v>0</v>
      </c>
      <c r="L87" t="str" s="30" cm="1">
        <f t="array" ref="L87">IF($D87="","",IF($I87=2,MID($D87,$K87+1,10),IF($I87=1,MID($D87,$J87+1,10),IF($I87=0,$D87,""))))</f>
      </c>
      <c r="M87" s="29" cm="1">
        <f t="array" ref="M87">IF($L87="",0,_xlfn.IFERROR(FIND(".",SUBSTITUTE($L87,",",".")),0))</f>
        <v>0</v>
      </c>
      <c r="N87" s="29" cm="1">
        <f t="array" ref="N87">IF($E87="",10^9,$E87)</f>
        <v>1000000000</v>
      </c>
      <c r="O87" t="str" s="30" cm="1">
        <f t="array" ref="O87">IF($E87="","",SUM($E$11:$E87))</f>
      </c>
      <c r="P87" t="str" s="30" cm="1">
        <f t="array" ref="P87">IF($E87="","",($D$6/$D$7+$O87)/COUNT($E$11:$E87))</f>
      </c>
      <c r="Q87" s="29" cm="1">
        <f t="array" ref="Q87">IF($E87="",0,IF(AND($E87&lt;$P87,OR($E88="",$P87&lt;=$E88)),1,0))</f>
        <v>0</v>
      </c>
      <c r="R87" s="27" cm="1">
        <f t="array" ref="R87">IF($V$4=0,"",ROUND($V$4,1)-10+(87-11)*0.1)</f>
        <v>2520.7</v>
      </c>
      <c r="S87" s="28">
        <v>20000</v>
      </c>
      <c r="T87" t="str" s="30" cm="1">
        <f t="array" ref="T87">IF($E87="","",ROUND($G87/$D$8,0)*$D$8)</f>
      </c>
      <c r="U87" s="14"/>
      <c r="V87" s="8"/>
    </row>
    <row r="88" ht="13.55" customHeight="1">
      <c r="A88" t="str" s="30" cm="1">
        <f t="array" ref="A88">IF($E88="","",COUNT($E$11:$E88))</f>
      </c>
      <c r="B88" s="39"/>
      <c r="C88" s="39"/>
      <c r="D88" s="39"/>
      <c r="E88" t="str" s="30" cm="1">
        <f t="array" ref="E88">IF($D88="","",_xlfn.IFERROR(IF($I88=-1,IF($D88&lt;0.5,$D88*86400,IF($D88&lt;100,$D88*1440,$D88)),IF($I88=2,VALUE(LEFT($D88,$J88-1))*3600+VALUE(MID($D88,$J88+1,$K88-$J88-1))*60,IF($I88=1,VALUE(LEFT($D88,$J88-1))*60,0))+IF($M88=0,VALUE($L88),VALUE(LEFT($L88,$M88-1))+VALUE(MID($L88,$M88+1,10))/10^(LEN($L88)-$M88))),""))</f>
      </c>
      <c r="F88" t="str" s="30" cm="1">
        <f t="array" ref="F88">IF($E88="","",MAX(0,$I$7-$E88))</f>
      </c>
      <c r="G88" t="str" s="30" cm="1">
        <f t="array" ref="G88">IF($E88="","",$F88*$D$7)</f>
      </c>
      <c r="H88" t="str" s="30" cm="1">
        <f t="array" ref="H88">IF($E88="","",$T88+IF(AND($V$6&gt;=$D$8,COUNT($E$11:$E88)=$V$7+1),$D$8,0))</f>
      </c>
      <c r="I88" t="str" s="30" cm="1">
        <f t="array" ref="I88">IF($D88="","",IF(ISTEXT($D88),LEN($D88)-LEN(SUBSTITUTE($D88,":","")),-1))</f>
      </c>
      <c r="J88" s="29" cm="1">
        <f t="array" ref="J88">_xlfn.IFERROR(FIND(":",$D88),0)</f>
        <v>0</v>
      </c>
      <c r="K88" s="29" cm="1">
        <f t="array" ref="K88">_xlfn.IFERROR(FIND(":",$D88,$J88+1),0)</f>
        <v>0</v>
      </c>
      <c r="L88" t="str" s="30" cm="1">
        <f t="array" ref="L88">IF($D88="","",IF($I88=2,MID($D88,$K88+1,10),IF($I88=1,MID($D88,$J88+1,10),IF($I88=0,$D88,""))))</f>
      </c>
      <c r="M88" s="29" cm="1">
        <f t="array" ref="M88">IF($L88="",0,_xlfn.IFERROR(FIND(".",SUBSTITUTE($L88,",",".")),0))</f>
        <v>0</v>
      </c>
      <c r="N88" s="29" cm="1">
        <f t="array" ref="N88">IF($E88="",10^9,$E88)</f>
        <v>1000000000</v>
      </c>
      <c r="O88" t="str" s="30" cm="1">
        <f t="array" ref="O88">IF($E88="","",SUM($E$11:$E88))</f>
      </c>
      <c r="P88" t="str" s="30" cm="1">
        <f t="array" ref="P88">IF($E88="","",($D$6/$D$7+$O88)/COUNT($E$11:$E88))</f>
      </c>
      <c r="Q88" s="29" cm="1">
        <f t="array" ref="Q88">IF($E88="",0,IF(AND($E88&lt;$P88,OR($E89="",$P88&lt;=$E89)),1,0))</f>
        <v>0</v>
      </c>
      <c r="R88" s="27" cm="1">
        <f t="array" ref="R88">IF($V$4=0,"",ROUND($V$4,1)-10+(88-11)*0.1)</f>
        <v>2520.8</v>
      </c>
      <c r="S88" s="28">
        <v>20000</v>
      </c>
      <c r="T88" t="str" s="30" cm="1">
        <f t="array" ref="T88">IF($E88="","",ROUND($G88/$D$8,0)*$D$8)</f>
      </c>
      <c r="U88" s="14"/>
      <c r="V88" s="8"/>
    </row>
    <row r="89" ht="13.55" customHeight="1">
      <c r="A89" t="str" s="30" cm="1">
        <f t="array" ref="A89">IF($E89="","",COUNT($E$11:$E89))</f>
      </c>
      <c r="B89" s="39"/>
      <c r="C89" s="39"/>
      <c r="D89" s="39"/>
      <c r="E89" t="str" s="30" cm="1">
        <f t="array" ref="E89">IF($D89="","",_xlfn.IFERROR(IF($I89=-1,IF($D89&lt;0.5,$D89*86400,IF($D89&lt;100,$D89*1440,$D89)),IF($I89=2,VALUE(LEFT($D89,$J89-1))*3600+VALUE(MID($D89,$J89+1,$K89-$J89-1))*60,IF($I89=1,VALUE(LEFT($D89,$J89-1))*60,0))+IF($M89=0,VALUE($L89),VALUE(LEFT($L89,$M89-1))+VALUE(MID($L89,$M89+1,10))/10^(LEN($L89)-$M89))),""))</f>
      </c>
      <c r="F89" t="str" s="30" cm="1">
        <f t="array" ref="F89">IF($E89="","",MAX(0,$I$7-$E89))</f>
      </c>
      <c r="G89" t="str" s="30" cm="1">
        <f t="array" ref="G89">IF($E89="","",$F89*$D$7)</f>
      </c>
      <c r="H89" t="str" s="30" cm="1">
        <f t="array" ref="H89">IF($E89="","",$T89+IF(AND($V$6&gt;=$D$8,COUNT($E$11:$E89)=$V$7+1),$D$8,0))</f>
      </c>
      <c r="I89" t="str" s="30" cm="1">
        <f t="array" ref="I89">IF($D89="","",IF(ISTEXT($D89),LEN($D89)-LEN(SUBSTITUTE($D89,":","")),-1))</f>
      </c>
      <c r="J89" s="29" cm="1">
        <f t="array" ref="J89">_xlfn.IFERROR(FIND(":",$D89),0)</f>
        <v>0</v>
      </c>
      <c r="K89" s="29" cm="1">
        <f t="array" ref="K89">_xlfn.IFERROR(FIND(":",$D89,$J89+1),0)</f>
        <v>0</v>
      </c>
      <c r="L89" t="str" s="30" cm="1">
        <f t="array" ref="L89">IF($D89="","",IF($I89=2,MID($D89,$K89+1,10),IF($I89=1,MID($D89,$J89+1,10),IF($I89=0,$D89,""))))</f>
      </c>
      <c r="M89" s="29" cm="1">
        <f t="array" ref="M89">IF($L89="",0,_xlfn.IFERROR(FIND(".",SUBSTITUTE($L89,",",".")),0))</f>
        <v>0</v>
      </c>
      <c r="N89" s="29" cm="1">
        <f t="array" ref="N89">IF($E89="",10^9,$E89)</f>
        <v>1000000000</v>
      </c>
      <c r="O89" t="str" s="30" cm="1">
        <f t="array" ref="O89">IF($E89="","",SUM($E$11:$E89))</f>
      </c>
      <c r="P89" t="str" s="30" cm="1">
        <f t="array" ref="P89">IF($E89="","",($D$6/$D$7+$O89)/COUNT($E$11:$E89))</f>
      </c>
      <c r="Q89" s="29" cm="1">
        <f t="array" ref="Q89">IF($E89="",0,IF(AND($E89&lt;$P89,OR($E90="",$P89&lt;=$E90)),1,0))</f>
        <v>0</v>
      </c>
      <c r="R89" s="27" cm="1">
        <f t="array" ref="R89">IF($V$4=0,"",ROUND($V$4,1)-10+(89-11)*0.1)</f>
        <v>2520.9</v>
      </c>
      <c r="S89" s="28">
        <v>20000</v>
      </c>
      <c r="T89" t="str" s="30" cm="1">
        <f t="array" ref="T89">IF($E89="","",ROUND($G89/$D$8,0)*$D$8)</f>
      </c>
      <c r="U89" s="14"/>
      <c r="V89" s="8"/>
    </row>
    <row r="90" ht="13.55" customHeight="1">
      <c r="A90" t="str" s="30" cm="1">
        <f t="array" ref="A90">IF($E90="","",COUNT($E$11:$E90))</f>
      </c>
      <c r="B90" s="39"/>
      <c r="C90" s="39"/>
      <c r="D90" s="39"/>
      <c r="E90" t="str" s="30" cm="1">
        <f t="array" ref="E90">IF($D90="","",_xlfn.IFERROR(IF($I90=-1,IF($D90&lt;0.5,$D90*86400,IF($D90&lt;100,$D90*1440,$D90)),IF($I90=2,VALUE(LEFT($D90,$J90-1))*3600+VALUE(MID($D90,$J90+1,$K90-$J90-1))*60,IF($I90=1,VALUE(LEFT($D90,$J90-1))*60,0))+IF($M90=0,VALUE($L90),VALUE(LEFT($L90,$M90-1))+VALUE(MID($L90,$M90+1,10))/10^(LEN($L90)-$M90))),""))</f>
      </c>
      <c r="F90" t="str" s="30" cm="1">
        <f t="array" ref="F90">IF($E90="","",MAX(0,$I$7-$E90))</f>
      </c>
      <c r="G90" t="str" s="30" cm="1">
        <f t="array" ref="G90">IF($E90="","",$F90*$D$7)</f>
      </c>
      <c r="H90" t="str" s="30" cm="1">
        <f t="array" ref="H90">IF($E90="","",$T90+IF(AND($V$6&gt;=$D$8,COUNT($E$11:$E90)=$V$7+1),$D$8,0))</f>
      </c>
      <c r="I90" t="str" s="30" cm="1">
        <f t="array" ref="I90">IF($D90="","",IF(ISTEXT($D90),LEN($D90)-LEN(SUBSTITUTE($D90,":","")),-1))</f>
      </c>
      <c r="J90" s="29" cm="1">
        <f t="array" ref="J90">_xlfn.IFERROR(FIND(":",$D90),0)</f>
        <v>0</v>
      </c>
      <c r="K90" s="29" cm="1">
        <f t="array" ref="K90">_xlfn.IFERROR(FIND(":",$D90,$J90+1),0)</f>
        <v>0</v>
      </c>
      <c r="L90" t="str" s="30" cm="1">
        <f t="array" ref="L90">IF($D90="","",IF($I90=2,MID($D90,$K90+1,10),IF($I90=1,MID($D90,$J90+1,10),IF($I90=0,$D90,""))))</f>
      </c>
      <c r="M90" s="29" cm="1">
        <f t="array" ref="M90">IF($L90="",0,_xlfn.IFERROR(FIND(".",SUBSTITUTE($L90,",",".")),0))</f>
        <v>0</v>
      </c>
      <c r="N90" s="29" cm="1">
        <f t="array" ref="N90">IF($E90="",10^9,$E90)</f>
        <v>1000000000</v>
      </c>
      <c r="O90" t="str" s="30" cm="1">
        <f t="array" ref="O90">IF($E90="","",SUM($E$11:$E90))</f>
      </c>
      <c r="P90" t="str" s="30" cm="1">
        <f t="array" ref="P90">IF($E90="","",($D$6/$D$7+$O90)/COUNT($E$11:$E90))</f>
      </c>
      <c r="Q90" s="29" cm="1">
        <f t="array" ref="Q90">IF($E90="",0,IF(AND($E90&lt;$P90,OR($E91="",$P90&lt;=$E91)),1,0))</f>
        <v>0</v>
      </c>
      <c r="R90" s="27" cm="1">
        <f t="array" ref="R90">IF($V$4=0,"",ROUND($V$4,1)-10+(90-11)*0.1)</f>
        <v>2521</v>
      </c>
      <c r="S90" s="28">
        <v>20000</v>
      </c>
      <c r="T90" t="str" s="30" cm="1">
        <f t="array" ref="T90">IF($E90="","",ROUND($G90/$D$8,0)*$D$8)</f>
      </c>
      <c r="U90" s="14"/>
      <c r="V90" s="8"/>
    </row>
    <row r="91" ht="13.55" customHeight="1">
      <c r="A91" t="str" s="30" cm="1">
        <f t="array" ref="A91">IF($E91="","",COUNT($E$11:$E91))</f>
      </c>
      <c r="B91" s="39"/>
      <c r="C91" s="39"/>
      <c r="D91" s="39"/>
      <c r="E91" t="str" s="30" cm="1">
        <f t="array" ref="E91">IF($D91="","",_xlfn.IFERROR(IF($I91=-1,IF($D91&lt;0.5,$D91*86400,IF($D91&lt;100,$D91*1440,$D91)),IF($I91=2,VALUE(LEFT($D91,$J91-1))*3600+VALUE(MID($D91,$J91+1,$K91-$J91-1))*60,IF($I91=1,VALUE(LEFT($D91,$J91-1))*60,0))+IF($M91=0,VALUE($L91),VALUE(LEFT($L91,$M91-1))+VALUE(MID($L91,$M91+1,10))/10^(LEN($L91)-$M91))),""))</f>
      </c>
      <c r="F91" t="str" s="30" cm="1">
        <f t="array" ref="F91">IF($E91="","",MAX(0,$I$7-$E91))</f>
      </c>
      <c r="G91" t="str" s="30" cm="1">
        <f t="array" ref="G91">IF($E91="","",$F91*$D$7)</f>
      </c>
      <c r="H91" t="str" s="30" cm="1">
        <f t="array" ref="H91">IF($E91="","",$T91+IF(AND($V$6&gt;=$D$8,COUNT($E$11:$E91)=$V$7+1),$D$8,0))</f>
      </c>
      <c r="I91" t="str" s="30" cm="1">
        <f t="array" ref="I91">IF($D91="","",IF(ISTEXT($D91),LEN($D91)-LEN(SUBSTITUTE($D91,":","")),-1))</f>
      </c>
      <c r="J91" s="29" cm="1">
        <f t="array" ref="J91">_xlfn.IFERROR(FIND(":",$D91),0)</f>
        <v>0</v>
      </c>
      <c r="K91" s="29" cm="1">
        <f t="array" ref="K91">_xlfn.IFERROR(FIND(":",$D91,$J91+1),0)</f>
        <v>0</v>
      </c>
      <c r="L91" t="str" s="30" cm="1">
        <f t="array" ref="L91">IF($D91="","",IF($I91=2,MID($D91,$K91+1,10),IF($I91=1,MID($D91,$J91+1,10),IF($I91=0,$D91,""))))</f>
      </c>
      <c r="M91" s="29" cm="1">
        <f t="array" ref="M91">IF($L91="",0,_xlfn.IFERROR(FIND(".",SUBSTITUTE($L91,",",".")),0))</f>
        <v>0</v>
      </c>
      <c r="N91" s="29" cm="1">
        <f t="array" ref="N91">IF($E91="",10^9,$E91)</f>
        <v>1000000000</v>
      </c>
      <c r="O91" t="str" s="30" cm="1">
        <f t="array" ref="O91">IF($E91="","",SUM($E$11:$E91))</f>
      </c>
      <c r="P91" t="str" s="30" cm="1">
        <f t="array" ref="P91">IF($E91="","",($D$6/$D$7+$O91)/COUNT($E$11:$E91))</f>
      </c>
      <c r="Q91" s="29" cm="1">
        <f t="array" ref="Q91">IF($E91="",0,IF(AND($E91&lt;$P91,OR($E92="",$P91&lt;=$E92)),1,0))</f>
        <v>0</v>
      </c>
      <c r="R91" s="27" cm="1">
        <f t="array" ref="R91">IF($V$4=0,"",ROUND($V$4,1)-10+(91-11)*0.1)</f>
        <v>2521.1</v>
      </c>
      <c r="S91" s="28">
        <v>20000</v>
      </c>
      <c r="T91" t="str" s="30" cm="1">
        <f t="array" ref="T91">IF($E91="","",ROUND($G91/$D$8,0)*$D$8)</f>
      </c>
      <c r="U91" s="14"/>
      <c r="V91" s="8"/>
    </row>
    <row r="92" ht="13.55" customHeight="1">
      <c r="A92" t="str" s="30" cm="1">
        <f t="array" ref="A92">IF($E92="","",COUNT($E$11:$E92))</f>
      </c>
      <c r="B92" s="39"/>
      <c r="C92" s="39"/>
      <c r="D92" s="39"/>
      <c r="E92" t="str" s="30" cm="1">
        <f t="array" ref="E92">IF($D92="","",_xlfn.IFERROR(IF($I92=-1,IF($D92&lt;0.5,$D92*86400,IF($D92&lt;100,$D92*1440,$D92)),IF($I92=2,VALUE(LEFT($D92,$J92-1))*3600+VALUE(MID($D92,$J92+1,$K92-$J92-1))*60,IF($I92=1,VALUE(LEFT($D92,$J92-1))*60,0))+IF($M92=0,VALUE($L92),VALUE(LEFT($L92,$M92-1))+VALUE(MID($L92,$M92+1,10))/10^(LEN($L92)-$M92))),""))</f>
      </c>
      <c r="F92" t="str" s="30" cm="1">
        <f t="array" ref="F92">IF($E92="","",MAX(0,$I$7-$E92))</f>
      </c>
      <c r="G92" t="str" s="30" cm="1">
        <f t="array" ref="G92">IF($E92="","",$F92*$D$7)</f>
      </c>
      <c r="H92" t="str" s="30" cm="1">
        <f t="array" ref="H92">IF($E92="","",$T92+IF(AND($V$6&gt;=$D$8,COUNT($E$11:$E92)=$V$7+1),$D$8,0))</f>
      </c>
      <c r="I92" t="str" s="30" cm="1">
        <f t="array" ref="I92">IF($D92="","",IF(ISTEXT($D92),LEN($D92)-LEN(SUBSTITUTE($D92,":","")),-1))</f>
      </c>
      <c r="J92" s="29" cm="1">
        <f t="array" ref="J92">_xlfn.IFERROR(FIND(":",$D92),0)</f>
        <v>0</v>
      </c>
      <c r="K92" s="29" cm="1">
        <f t="array" ref="K92">_xlfn.IFERROR(FIND(":",$D92,$J92+1),0)</f>
        <v>0</v>
      </c>
      <c r="L92" t="str" s="30" cm="1">
        <f t="array" ref="L92">IF($D92="","",IF($I92=2,MID($D92,$K92+1,10),IF($I92=1,MID($D92,$J92+1,10),IF($I92=0,$D92,""))))</f>
      </c>
      <c r="M92" s="29" cm="1">
        <f t="array" ref="M92">IF($L92="",0,_xlfn.IFERROR(FIND(".",SUBSTITUTE($L92,",",".")),0))</f>
        <v>0</v>
      </c>
      <c r="N92" s="29" cm="1">
        <f t="array" ref="N92">IF($E92="",10^9,$E92)</f>
        <v>1000000000</v>
      </c>
      <c r="O92" t="str" s="30" cm="1">
        <f t="array" ref="O92">IF($E92="","",SUM($E$11:$E92))</f>
      </c>
      <c r="P92" t="str" s="30" cm="1">
        <f t="array" ref="P92">IF($E92="","",($D$6/$D$7+$O92)/COUNT($E$11:$E92))</f>
      </c>
      <c r="Q92" s="29" cm="1">
        <f t="array" ref="Q92">IF($E92="",0,IF(AND($E92&lt;$P92,OR($E93="",$P92&lt;=$E93)),1,0))</f>
        <v>0</v>
      </c>
      <c r="R92" s="27" cm="1">
        <f t="array" ref="R92">IF($V$4=0,"",ROUND($V$4,1)-10+(92-11)*0.1)</f>
        <v>2521.2</v>
      </c>
      <c r="S92" s="28">
        <v>20000</v>
      </c>
      <c r="T92" t="str" s="30" cm="1">
        <f t="array" ref="T92">IF($E92="","",ROUND($G92/$D$8,0)*$D$8)</f>
      </c>
      <c r="U92" s="14"/>
      <c r="V92" s="8"/>
    </row>
    <row r="93" ht="13.55" customHeight="1">
      <c r="A93" t="str" s="30" cm="1">
        <f t="array" ref="A93">IF($E93="","",COUNT($E$11:$E93))</f>
      </c>
      <c r="B93" s="39"/>
      <c r="C93" s="39"/>
      <c r="D93" s="39"/>
      <c r="E93" t="str" s="30" cm="1">
        <f t="array" ref="E93">IF($D93="","",_xlfn.IFERROR(IF($I93=-1,IF($D93&lt;0.5,$D93*86400,IF($D93&lt;100,$D93*1440,$D93)),IF($I93=2,VALUE(LEFT($D93,$J93-1))*3600+VALUE(MID($D93,$J93+1,$K93-$J93-1))*60,IF($I93=1,VALUE(LEFT($D93,$J93-1))*60,0))+IF($M93=0,VALUE($L93),VALUE(LEFT($L93,$M93-1))+VALUE(MID($L93,$M93+1,10))/10^(LEN($L93)-$M93))),""))</f>
      </c>
      <c r="F93" t="str" s="30" cm="1">
        <f t="array" ref="F93">IF($E93="","",MAX(0,$I$7-$E93))</f>
      </c>
      <c r="G93" t="str" s="30" cm="1">
        <f t="array" ref="G93">IF($E93="","",$F93*$D$7)</f>
      </c>
      <c r="H93" t="str" s="30" cm="1">
        <f t="array" ref="H93">IF($E93="","",$T93+IF(AND($V$6&gt;=$D$8,COUNT($E$11:$E93)=$V$7+1),$D$8,0))</f>
      </c>
      <c r="I93" t="str" s="30" cm="1">
        <f t="array" ref="I93">IF($D93="","",IF(ISTEXT($D93),LEN($D93)-LEN(SUBSTITUTE($D93,":","")),-1))</f>
      </c>
      <c r="J93" s="29" cm="1">
        <f t="array" ref="J93">_xlfn.IFERROR(FIND(":",$D93),0)</f>
        <v>0</v>
      </c>
      <c r="K93" s="29" cm="1">
        <f t="array" ref="K93">_xlfn.IFERROR(FIND(":",$D93,$J93+1),0)</f>
        <v>0</v>
      </c>
      <c r="L93" t="str" s="30" cm="1">
        <f t="array" ref="L93">IF($D93="","",IF($I93=2,MID($D93,$K93+1,10),IF($I93=1,MID($D93,$J93+1,10),IF($I93=0,$D93,""))))</f>
      </c>
      <c r="M93" s="29" cm="1">
        <f t="array" ref="M93">IF($L93="",0,_xlfn.IFERROR(FIND(".",SUBSTITUTE($L93,",",".")),0))</f>
        <v>0</v>
      </c>
      <c r="N93" s="29" cm="1">
        <f t="array" ref="N93">IF($E93="",10^9,$E93)</f>
        <v>1000000000</v>
      </c>
      <c r="O93" t="str" s="30" cm="1">
        <f t="array" ref="O93">IF($E93="","",SUM($E$11:$E93))</f>
      </c>
      <c r="P93" t="str" s="30" cm="1">
        <f t="array" ref="P93">IF($E93="","",($D$6/$D$7+$O93)/COUNT($E$11:$E93))</f>
      </c>
      <c r="Q93" s="29" cm="1">
        <f t="array" ref="Q93">IF($E93="",0,IF(AND($E93&lt;$P93,OR($E94="",$P93&lt;=$E94)),1,0))</f>
        <v>0</v>
      </c>
      <c r="R93" s="27" cm="1">
        <f t="array" ref="R93">IF($V$4=0,"",ROUND($V$4,1)-10+(93-11)*0.1)</f>
        <v>2521.3</v>
      </c>
      <c r="S93" s="28">
        <v>20000</v>
      </c>
      <c r="T93" t="str" s="30" cm="1">
        <f t="array" ref="T93">IF($E93="","",ROUND($G93/$D$8,0)*$D$8)</f>
      </c>
      <c r="U93" s="14"/>
      <c r="V93" s="8"/>
    </row>
    <row r="94" ht="13.55" customHeight="1">
      <c r="A94" t="str" s="30" cm="1">
        <f t="array" ref="A94">IF($E94="","",COUNT($E$11:$E94))</f>
      </c>
      <c r="B94" s="39"/>
      <c r="C94" s="39"/>
      <c r="D94" s="39"/>
      <c r="E94" t="str" s="30" cm="1">
        <f t="array" ref="E94">IF($D94="","",_xlfn.IFERROR(IF($I94=-1,IF($D94&lt;0.5,$D94*86400,IF($D94&lt;100,$D94*1440,$D94)),IF($I94=2,VALUE(LEFT($D94,$J94-1))*3600+VALUE(MID($D94,$J94+1,$K94-$J94-1))*60,IF($I94=1,VALUE(LEFT($D94,$J94-1))*60,0))+IF($M94=0,VALUE($L94),VALUE(LEFT($L94,$M94-1))+VALUE(MID($L94,$M94+1,10))/10^(LEN($L94)-$M94))),""))</f>
      </c>
      <c r="F94" t="str" s="30" cm="1">
        <f t="array" ref="F94">IF($E94="","",MAX(0,$I$7-$E94))</f>
      </c>
      <c r="G94" t="str" s="30" cm="1">
        <f t="array" ref="G94">IF($E94="","",$F94*$D$7)</f>
      </c>
      <c r="H94" t="str" s="30" cm="1">
        <f t="array" ref="H94">IF($E94="","",$T94+IF(AND($V$6&gt;=$D$8,COUNT($E$11:$E94)=$V$7+1),$D$8,0))</f>
      </c>
      <c r="I94" t="str" s="30" cm="1">
        <f t="array" ref="I94">IF($D94="","",IF(ISTEXT($D94),LEN($D94)-LEN(SUBSTITUTE($D94,":","")),-1))</f>
      </c>
      <c r="J94" s="29" cm="1">
        <f t="array" ref="J94">_xlfn.IFERROR(FIND(":",$D94),0)</f>
        <v>0</v>
      </c>
      <c r="K94" s="29" cm="1">
        <f t="array" ref="K94">_xlfn.IFERROR(FIND(":",$D94,$J94+1),0)</f>
        <v>0</v>
      </c>
      <c r="L94" t="str" s="30" cm="1">
        <f t="array" ref="L94">IF($D94="","",IF($I94=2,MID($D94,$K94+1,10),IF($I94=1,MID($D94,$J94+1,10),IF($I94=0,$D94,""))))</f>
      </c>
      <c r="M94" s="29" cm="1">
        <f t="array" ref="M94">IF($L94="",0,_xlfn.IFERROR(FIND(".",SUBSTITUTE($L94,",",".")),0))</f>
        <v>0</v>
      </c>
      <c r="N94" s="29" cm="1">
        <f t="array" ref="N94">IF($E94="",10^9,$E94)</f>
        <v>1000000000</v>
      </c>
      <c r="O94" t="str" s="30" cm="1">
        <f t="array" ref="O94">IF($E94="","",SUM($E$11:$E94))</f>
      </c>
      <c r="P94" t="str" s="30" cm="1">
        <f t="array" ref="P94">IF($E94="","",($D$6/$D$7+$O94)/COUNT($E$11:$E94))</f>
      </c>
      <c r="Q94" s="29" cm="1">
        <f t="array" ref="Q94">IF($E94="",0,IF(AND($E94&lt;$P94,OR($E95="",$P94&lt;=$E95)),1,0))</f>
        <v>0</v>
      </c>
      <c r="R94" s="27" cm="1">
        <f t="array" ref="R94">IF($V$4=0,"",ROUND($V$4,1)-10+(94-11)*0.1)</f>
        <v>2521.4</v>
      </c>
      <c r="S94" s="28">
        <v>20000</v>
      </c>
      <c r="T94" t="str" s="30" cm="1">
        <f t="array" ref="T94">IF($E94="","",ROUND($G94/$D$8,0)*$D$8)</f>
      </c>
      <c r="U94" s="14"/>
      <c r="V94" s="8"/>
    </row>
    <row r="95" ht="13.55" customHeight="1">
      <c r="A95" t="str" s="30" cm="1">
        <f t="array" ref="A95">IF($E95="","",COUNT($E$11:$E95))</f>
      </c>
      <c r="B95" s="39"/>
      <c r="C95" s="39"/>
      <c r="D95" s="39"/>
      <c r="E95" t="str" s="30" cm="1">
        <f t="array" ref="E95">IF($D95="","",_xlfn.IFERROR(IF($I95=-1,IF($D95&lt;0.5,$D95*86400,IF($D95&lt;100,$D95*1440,$D95)),IF($I95=2,VALUE(LEFT($D95,$J95-1))*3600+VALUE(MID($D95,$J95+1,$K95-$J95-1))*60,IF($I95=1,VALUE(LEFT($D95,$J95-1))*60,0))+IF($M95=0,VALUE($L95),VALUE(LEFT($L95,$M95-1))+VALUE(MID($L95,$M95+1,10))/10^(LEN($L95)-$M95))),""))</f>
      </c>
      <c r="F95" t="str" s="30" cm="1">
        <f t="array" ref="F95">IF($E95="","",MAX(0,$I$7-$E95))</f>
      </c>
      <c r="G95" t="str" s="30" cm="1">
        <f t="array" ref="G95">IF($E95="","",$F95*$D$7)</f>
      </c>
      <c r="H95" t="str" s="30" cm="1">
        <f t="array" ref="H95">IF($E95="","",$T95+IF(AND($V$6&gt;=$D$8,COUNT($E$11:$E95)=$V$7+1),$D$8,0))</f>
      </c>
      <c r="I95" t="str" s="30" cm="1">
        <f t="array" ref="I95">IF($D95="","",IF(ISTEXT($D95),LEN($D95)-LEN(SUBSTITUTE($D95,":","")),-1))</f>
      </c>
      <c r="J95" s="29" cm="1">
        <f t="array" ref="J95">_xlfn.IFERROR(FIND(":",$D95),0)</f>
        <v>0</v>
      </c>
      <c r="K95" s="29" cm="1">
        <f t="array" ref="K95">_xlfn.IFERROR(FIND(":",$D95,$J95+1),0)</f>
        <v>0</v>
      </c>
      <c r="L95" t="str" s="30" cm="1">
        <f t="array" ref="L95">IF($D95="","",IF($I95=2,MID($D95,$K95+1,10),IF($I95=1,MID($D95,$J95+1,10),IF($I95=0,$D95,""))))</f>
      </c>
      <c r="M95" s="29" cm="1">
        <f t="array" ref="M95">IF($L95="",0,_xlfn.IFERROR(FIND(".",SUBSTITUTE($L95,",",".")),0))</f>
        <v>0</v>
      </c>
      <c r="N95" s="29" cm="1">
        <f t="array" ref="N95">IF($E95="",10^9,$E95)</f>
        <v>1000000000</v>
      </c>
      <c r="O95" t="str" s="30" cm="1">
        <f t="array" ref="O95">IF($E95="","",SUM($E$11:$E95))</f>
      </c>
      <c r="P95" t="str" s="30" cm="1">
        <f t="array" ref="P95">IF($E95="","",($D$6/$D$7+$O95)/COUNT($E$11:$E95))</f>
      </c>
      <c r="Q95" s="29" cm="1">
        <f t="array" ref="Q95">IF($E95="",0,IF(AND($E95&lt;$P95,OR($E96="",$P95&lt;=$E96)),1,0))</f>
        <v>0</v>
      </c>
      <c r="R95" s="27" cm="1">
        <f t="array" ref="R95">IF($V$4=0,"",ROUND($V$4,1)-10+(95-11)*0.1)</f>
        <v>2521.5</v>
      </c>
      <c r="S95" s="28">
        <v>20000</v>
      </c>
      <c r="T95" t="str" s="30" cm="1">
        <f t="array" ref="T95">IF($E95="","",ROUND($G95/$D$8,0)*$D$8)</f>
      </c>
      <c r="U95" s="14"/>
      <c r="V95" s="8"/>
    </row>
    <row r="96" ht="13.55" customHeight="1">
      <c r="A96" t="str" s="30" cm="1">
        <f t="array" ref="A96">IF($E96="","",COUNT($E$11:$E96))</f>
      </c>
      <c r="B96" s="39"/>
      <c r="C96" s="39"/>
      <c r="D96" s="39"/>
      <c r="E96" t="str" s="30" cm="1">
        <f t="array" ref="E96">IF($D96="","",_xlfn.IFERROR(IF($I96=-1,IF($D96&lt;0.5,$D96*86400,IF($D96&lt;100,$D96*1440,$D96)),IF($I96=2,VALUE(LEFT($D96,$J96-1))*3600+VALUE(MID($D96,$J96+1,$K96-$J96-1))*60,IF($I96=1,VALUE(LEFT($D96,$J96-1))*60,0))+IF($M96=0,VALUE($L96),VALUE(LEFT($L96,$M96-1))+VALUE(MID($L96,$M96+1,10))/10^(LEN($L96)-$M96))),""))</f>
      </c>
      <c r="F96" t="str" s="30" cm="1">
        <f t="array" ref="F96">IF($E96="","",MAX(0,$I$7-$E96))</f>
      </c>
      <c r="G96" t="str" s="30" cm="1">
        <f t="array" ref="G96">IF($E96="","",$F96*$D$7)</f>
      </c>
      <c r="H96" t="str" s="30" cm="1">
        <f t="array" ref="H96">IF($E96="","",$T96+IF(AND($V$6&gt;=$D$8,COUNT($E$11:$E96)=$V$7+1),$D$8,0))</f>
      </c>
      <c r="I96" t="str" s="30" cm="1">
        <f t="array" ref="I96">IF($D96="","",IF(ISTEXT($D96),LEN($D96)-LEN(SUBSTITUTE($D96,":","")),-1))</f>
      </c>
      <c r="J96" s="29" cm="1">
        <f t="array" ref="J96">_xlfn.IFERROR(FIND(":",$D96),0)</f>
        <v>0</v>
      </c>
      <c r="K96" s="29" cm="1">
        <f t="array" ref="K96">_xlfn.IFERROR(FIND(":",$D96,$J96+1),0)</f>
        <v>0</v>
      </c>
      <c r="L96" t="str" s="30" cm="1">
        <f t="array" ref="L96">IF($D96="","",IF($I96=2,MID($D96,$K96+1,10),IF($I96=1,MID($D96,$J96+1,10),IF($I96=0,$D96,""))))</f>
      </c>
      <c r="M96" s="29" cm="1">
        <f t="array" ref="M96">IF($L96="",0,_xlfn.IFERROR(FIND(".",SUBSTITUTE($L96,",",".")),0))</f>
        <v>0</v>
      </c>
      <c r="N96" s="29" cm="1">
        <f t="array" ref="N96">IF($E96="",10^9,$E96)</f>
        <v>1000000000</v>
      </c>
      <c r="O96" t="str" s="30" cm="1">
        <f t="array" ref="O96">IF($E96="","",SUM($E$11:$E96))</f>
      </c>
      <c r="P96" t="str" s="30" cm="1">
        <f t="array" ref="P96">IF($E96="","",($D$6/$D$7+$O96)/COUNT($E$11:$E96))</f>
      </c>
      <c r="Q96" s="29" cm="1">
        <f t="array" ref="Q96">IF($E96="",0,IF(AND($E96&lt;$P96,OR($E97="",$P96&lt;=$E97)),1,0))</f>
        <v>0</v>
      </c>
      <c r="R96" s="27" cm="1">
        <f t="array" ref="R96">IF($V$4=0,"",ROUND($V$4,1)-10+(96-11)*0.1)</f>
        <v>2521.6</v>
      </c>
      <c r="S96" s="28">
        <v>20000</v>
      </c>
      <c r="T96" t="str" s="30" cm="1">
        <f t="array" ref="T96">IF($E96="","",ROUND($G96/$D$8,0)*$D$8)</f>
      </c>
      <c r="U96" s="14"/>
      <c r="V96" s="8"/>
    </row>
    <row r="97" ht="13.55" customHeight="1">
      <c r="A97" t="str" s="30" cm="1">
        <f t="array" ref="A97">IF($E97="","",COUNT($E$11:$E97))</f>
      </c>
      <c r="B97" s="39"/>
      <c r="C97" s="39"/>
      <c r="D97" s="39"/>
      <c r="E97" t="str" s="30" cm="1">
        <f t="array" ref="E97">IF($D97="","",_xlfn.IFERROR(IF($I97=-1,IF($D97&lt;0.5,$D97*86400,IF($D97&lt;100,$D97*1440,$D97)),IF($I97=2,VALUE(LEFT($D97,$J97-1))*3600+VALUE(MID($D97,$J97+1,$K97-$J97-1))*60,IF($I97=1,VALUE(LEFT($D97,$J97-1))*60,0))+IF($M97=0,VALUE($L97),VALUE(LEFT($L97,$M97-1))+VALUE(MID($L97,$M97+1,10))/10^(LEN($L97)-$M97))),""))</f>
      </c>
      <c r="F97" t="str" s="30" cm="1">
        <f t="array" ref="F97">IF($E97="","",MAX(0,$I$7-$E97))</f>
      </c>
      <c r="G97" t="str" s="30" cm="1">
        <f t="array" ref="G97">IF($E97="","",$F97*$D$7)</f>
      </c>
      <c r="H97" t="str" s="30" cm="1">
        <f t="array" ref="H97">IF($E97="","",$T97+IF(AND($V$6&gt;=$D$8,COUNT($E$11:$E97)=$V$7+1),$D$8,0))</f>
      </c>
      <c r="I97" t="str" s="30" cm="1">
        <f t="array" ref="I97">IF($D97="","",IF(ISTEXT($D97),LEN($D97)-LEN(SUBSTITUTE($D97,":","")),-1))</f>
      </c>
      <c r="J97" s="29" cm="1">
        <f t="array" ref="J97">_xlfn.IFERROR(FIND(":",$D97),0)</f>
        <v>0</v>
      </c>
      <c r="K97" s="29" cm="1">
        <f t="array" ref="K97">_xlfn.IFERROR(FIND(":",$D97,$J97+1),0)</f>
        <v>0</v>
      </c>
      <c r="L97" t="str" s="30" cm="1">
        <f t="array" ref="L97">IF($D97="","",IF($I97=2,MID($D97,$K97+1,10),IF($I97=1,MID($D97,$J97+1,10),IF($I97=0,$D97,""))))</f>
      </c>
      <c r="M97" s="29" cm="1">
        <f t="array" ref="M97">IF($L97="",0,_xlfn.IFERROR(FIND(".",SUBSTITUTE($L97,",",".")),0))</f>
        <v>0</v>
      </c>
      <c r="N97" s="29" cm="1">
        <f t="array" ref="N97">IF($E97="",10^9,$E97)</f>
        <v>1000000000</v>
      </c>
      <c r="O97" t="str" s="30" cm="1">
        <f t="array" ref="O97">IF($E97="","",SUM($E$11:$E97))</f>
      </c>
      <c r="P97" t="str" s="30" cm="1">
        <f t="array" ref="P97">IF($E97="","",($D$6/$D$7+$O97)/COUNT($E$11:$E97))</f>
      </c>
      <c r="Q97" s="29" cm="1">
        <f t="array" ref="Q97">IF($E97="",0,IF(AND($E97&lt;$P97,OR($E98="",$P97&lt;=$E98)),1,0))</f>
        <v>0</v>
      </c>
      <c r="R97" s="27" cm="1">
        <f t="array" ref="R97">IF($V$4=0,"",ROUND($V$4,1)-10+(97-11)*0.1)</f>
        <v>2521.7</v>
      </c>
      <c r="S97" s="28">
        <v>20000</v>
      </c>
      <c r="T97" t="str" s="30" cm="1">
        <f t="array" ref="T97">IF($E97="","",ROUND($G97/$D$8,0)*$D$8)</f>
      </c>
      <c r="U97" s="14"/>
      <c r="V97" s="8"/>
    </row>
    <row r="98" ht="13.55" customHeight="1">
      <c r="A98" t="str" s="30" cm="1">
        <f t="array" ref="A98">IF($E98="","",COUNT($E$11:$E98))</f>
      </c>
      <c r="B98" s="39"/>
      <c r="C98" s="39"/>
      <c r="D98" s="39"/>
      <c r="E98" t="str" s="30" cm="1">
        <f t="array" ref="E98">IF($D98="","",_xlfn.IFERROR(IF($I98=-1,IF($D98&lt;0.5,$D98*86400,IF($D98&lt;100,$D98*1440,$D98)),IF($I98=2,VALUE(LEFT($D98,$J98-1))*3600+VALUE(MID($D98,$J98+1,$K98-$J98-1))*60,IF($I98=1,VALUE(LEFT($D98,$J98-1))*60,0))+IF($M98=0,VALUE($L98),VALUE(LEFT($L98,$M98-1))+VALUE(MID($L98,$M98+1,10))/10^(LEN($L98)-$M98))),""))</f>
      </c>
      <c r="F98" t="str" s="30" cm="1">
        <f t="array" ref="F98">IF($E98="","",MAX(0,$I$7-$E98))</f>
      </c>
      <c r="G98" t="str" s="30" cm="1">
        <f t="array" ref="G98">IF($E98="","",$F98*$D$7)</f>
      </c>
      <c r="H98" t="str" s="30" cm="1">
        <f t="array" ref="H98">IF($E98="","",$T98+IF(AND($V$6&gt;=$D$8,COUNT($E$11:$E98)=$V$7+1),$D$8,0))</f>
      </c>
      <c r="I98" t="str" s="30" cm="1">
        <f t="array" ref="I98">IF($D98="","",IF(ISTEXT($D98),LEN($D98)-LEN(SUBSTITUTE($D98,":","")),-1))</f>
      </c>
      <c r="J98" s="29" cm="1">
        <f t="array" ref="J98">_xlfn.IFERROR(FIND(":",$D98),0)</f>
        <v>0</v>
      </c>
      <c r="K98" s="29" cm="1">
        <f t="array" ref="K98">_xlfn.IFERROR(FIND(":",$D98,$J98+1),0)</f>
        <v>0</v>
      </c>
      <c r="L98" t="str" s="30" cm="1">
        <f t="array" ref="L98">IF($D98="","",IF($I98=2,MID($D98,$K98+1,10),IF($I98=1,MID($D98,$J98+1,10),IF($I98=0,$D98,""))))</f>
      </c>
      <c r="M98" s="29" cm="1">
        <f t="array" ref="M98">IF($L98="",0,_xlfn.IFERROR(FIND(".",SUBSTITUTE($L98,",",".")),0))</f>
        <v>0</v>
      </c>
      <c r="N98" s="29" cm="1">
        <f t="array" ref="N98">IF($E98="",10^9,$E98)</f>
        <v>1000000000</v>
      </c>
      <c r="O98" t="str" s="30" cm="1">
        <f t="array" ref="O98">IF($E98="","",SUM($E$11:$E98))</f>
      </c>
      <c r="P98" t="str" s="30" cm="1">
        <f t="array" ref="P98">IF($E98="","",($D$6/$D$7+$O98)/COUNT($E$11:$E98))</f>
      </c>
      <c r="Q98" s="29" cm="1">
        <f t="array" ref="Q98">IF($E98="",0,IF(AND($E98&lt;$P98,OR($E99="",$P98&lt;=$E99)),1,0))</f>
        <v>0</v>
      </c>
      <c r="R98" s="27" cm="1">
        <f t="array" ref="R98">IF($V$4=0,"",ROUND($V$4,1)-10+(98-11)*0.1)</f>
        <v>2521.8</v>
      </c>
      <c r="S98" s="28">
        <v>20000</v>
      </c>
      <c r="T98" t="str" s="30" cm="1">
        <f t="array" ref="T98">IF($E98="","",ROUND($G98/$D$8,0)*$D$8)</f>
      </c>
      <c r="U98" s="14"/>
      <c r="V98" s="8"/>
    </row>
    <row r="99" ht="13.55" customHeight="1">
      <c r="A99" t="str" s="30" cm="1">
        <f t="array" ref="A99">IF($E99="","",COUNT($E$11:$E99))</f>
      </c>
      <c r="B99" s="39"/>
      <c r="C99" s="39"/>
      <c r="D99" s="39"/>
      <c r="E99" t="str" s="30" cm="1">
        <f t="array" ref="E99">IF($D99="","",_xlfn.IFERROR(IF($I99=-1,IF($D99&lt;0.5,$D99*86400,IF($D99&lt;100,$D99*1440,$D99)),IF($I99=2,VALUE(LEFT($D99,$J99-1))*3600+VALUE(MID($D99,$J99+1,$K99-$J99-1))*60,IF($I99=1,VALUE(LEFT($D99,$J99-1))*60,0))+IF($M99=0,VALUE($L99),VALUE(LEFT($L99,$M99-1))+VALUE(MID($L99,$M99+1,10))/10^(LEN($L99)-$M99))),""))</f>
      </c>
      <c r="F99" t="str" s="30" cm="1">
        <f t="array" ref="F99">IF($E99="","",MAX(0,$I$7-$E99))</f>
      </c>
      <c r="G99" t="str" s="30" cm="1">
        <f t="array" ref="G99">IF($E99="","",$F99*$D$7)</f>
      </c>
      <c r="H99" t="str" s="30" cm="1">
        <f t="array" ref="H99">IF($E99="","",$T99+IF(AND($V$6&gt;=$D$8,COUNT($E$11:$E99)=$V$7+1),$D$8,0))</f>
      </c>
      <c r="I99" t="str" s="30" cm="1">
        <f t="array" ref="I99">IF($D99="","",IF(ISTEXT($D99),LEN($D99)-LEN(SUBSTITUTE($D99,":","")),-1))</f>
      </c>
      <c r="J99" s="29" cm="1">
        <f t="array" ref="J99">_xlfn.IFERROR(FIND(":",$D99),0)</f>
        <v>0</v>
      </c>
      <c r="K99" s="29" cm="1">
        <f t="array" ref="K99">_xlfn.IFERROR(FIND(":",$D99,$J99+1),0)</f>
        <v>0</v>
      </c>
      <c r="L99" t="str" s="30" cm="1">
        <f t="array" ref="L99">IF($D99="","",IF($I99=2,MID($D99,$K99+1,10),IF($I99=1,MID($D99,$J99+1,10),IF($I99=0,$D99,""))))</f>
      </c>
      <c r="M99" s="29" cm="1">
        <f t="array" ref="M99">IF($L99="",0,_xlfn.IFERROR(FIND(".",SUBSTITUTE($L99,",",".")),0))</f>
        <v>0</v>
      </c>
      <c r="N99" s="29" cm="1">
        <f t="array" ref="N99">IF($E99="",10^9,$E99)</f>
        <v>1000000000</v>
      </c>
      <c r="O99" t="str" s="30" cm="1">
        <f t="array" ref="O99">IF($E99="","",SUM($E$11:$E99))</f>
      </c>
      <c r="P99" t="str" s="30" cm="1">
        <f t="array" ref="P99">IF($E99="","",($D$6/$D$7+$O99)/COUNT($E$11:$E99))</f>
      </c>
      <c r="Q99" s="29" cm="1">
        <f t="array" ref="Q99">IF($E99="",0,IF(AND($E99&lt;$P99,OR($E100="",$P99&lt;=$E100)),1,0))</f>
        <v>0</v>
      </c>
      <c r="R99" s="27" cm="1">
        <f t="array" ref="R99">IF($V$4=0,"",ROUND($V$4,1)-10+(99-11)*0.1)</f>
        <v>2521.9</v>
      </c>
      <c r="S99" s="28">
        <v>20000</v>
      </c>
      <c r="T99" t="str" s="30" cm="1">
        <f t="array" ref="T99">IF($E99="","",ROUND($G99/$D$8,0)*$D$8)</f>
      </c>
      <c r="U99" s="14"/>
      <c r="V99" s="8"/>
    </row>
    <row r="100" ht="13.55" customHeight="1">
      <c r="A100" t="str" s="30" cm="1">
        <f t="array" ref="A100">IF($E100="","",COUNT($E$11:$E100))</f>
      </c>
      <c r="B100" s="39"/>
      <c r="C100" s="39"/>
      <c r="D100" s="39"/>
      <c r="E100" t="str" s="30" cm="1">
        <f t="array" ref="E100">IF($D100="","",_xlfn.IFERROR(IF($I100=-1,IF($D100&lt;0.5,$D100*86400,IF($D100&lt;100,$D100*1440,$D100)),IF($I100=2,VALUE(LEFT($D100,$J100-1))*3600+VALUE(MID($D100,$J100+1,$K100-$J100-1))*60,IF($I100=1,VALUE(LEFT($D100,$J100-1))*60,0))+IF($M100=0,VALUE($L100),VALUE(LEFT($L100,$M100-1))+VALUE(MID($L100,$M100+1,10))/10^(LEN($L100)-$M100))),""))</f>
      </c>
      <c r="F100" t="str" s="30" cm="1">
        <f t="array" ref="F100">IF($E100="","",MAX(0,$I$7-$E100))</f>
      </c>
      <c r="G100" t="str" s="30" cm="1">
        <f t="array" ref="G100">IF($E100="","",$F100*$D$7)</f>
      </c>
      <c r="H100" t="str" s="30" cm="1">
        <f t="array" ref="H100">IF($E100="","",$T100+IF(AND($V$6&gt;=$D$8,COUNT($E$11:$E100)=$V$7+1),$D$8,0))</f>
      </c>
      <c r="I100" t="str" s="30" cm="1">
        <f t="array" ref="I100">IF($D100="","",IF(ISTEXT($D100),LEN($D100)-LEN(SUBSTITUTE($D100,":","")),-1))</f>
      </c>
      <c r="J100" s="29" cm="1">
        <f t="array" ref="J100">_xlfn.IFERROR(FIND(":",$D100),0)</f>
        <v>0</v>
      </c>
      <c r="K100" s="29" cm="1">
        <f t="array" ref="K100">_xlfn.IFERROR(FIND(":",$D100,$J100+1),0)</f>
        <v>0</v>
      </c>
      <c r="L100" t="str" s="30" cm="1">
        <f t="array" ref="L100">IF($D100="","",IF($I100=2,MID($D100,$K100+1,10),IF($I100=1,MID($D100,$J100+1,10),IF($I100=0,$D100,""))))</f>
      </c>
      <c r="M100" s="29" cm="1">
        <f t="array" ref="M100">IF($L100="",0,_xlfn.IFERROR(FIND(".",SUBSTITUTE($L100,",",".")),0))</f>
        <v>0</v>
      </c>
      <c r="N100" s="29" cm="1">
        <f t="array" ref="N100">IF($E100="",10^9,$E100)</f>
        <v>1000000000</v>
      </c>
      <c r="O100" t="str" s="30" cm="1">
        <f t="array" ref="O100">IF($E100="","",SUM($E$11:$E100))</f>
      </c>
      <c r="P100" t="str" s="30" cm="1">
        <f t="array" ref="P100">IF($E100="","",($D$6/$D$7+$O100)/COUNT($E$11:$E100))</f>
      </c>
      <c r="Q100" s="29" cm="1">
        <f t="array" ref="Q100">IF($E100="",0,IF(AND($E100&lt;$P100,OR($E101="",$P100&lt;=$E101)),1,0))</f>
        <v>0</v>
      </c>
      <c r="R100" s="27" cm="1">
        <f t="array" ref="R100">IF($V$4=0,"",ROUND($V$4,1)-10+(100-11)*0.1)</f>
        <v>2522</v>
      </c>
      <c r="S100" s="28">
        <v>20000</v>
      </c>
      <c r="T100" t="str" s="30" cm="1">
        <f t="array" ref="T100">IF($E100="","",ROUND($G100/$D$8,0)*$D$8)</f>
      </c>
      <c r="U100" s="14"/>
      <c r="V100" s="8"/>
    </row>
    <row r="101" ht="13.55" customHeight="1">
      <c r="A101" t="str" s="30" cm="1">
        <f t="array" ref="A101">IF($E101="","",COUNT($E$11:$E101))</f>
      </c>
      <c r="B101" s="39"/>
      <c r="C101" s="39"/>
      <c r="D101" s="39"/>
      <c r="E101" t="str" s="30" cm="1">
        <f t="array" ref="E101">IF($D101="","",_xlfn.IFERROR(IF($I101=-1,IF($D101&lt;0.5,$D101*86400,IF($D101&lt;100,$D101*1440,$D101)),IF($I101=2,VALUE(LEFT($D101,$J101-1))*3600+VALUE(MID($D101,$J101+1,$K101-$J101-1))*60,IF($I101=1,VALUE(LEFT($D101,$J101-1))*60,0))+IF($M101=0,VALUE($L101),VALUE(LEFT($L101,$M101-1))+VALUE(MID($L101,$M101+1,10))/10^(LEN($L101)-$M101))),""))</f>
      </c>
      <c r="F101" t="str" s="30" cm="1">
        <f t="array" ref="F101">IF($E101="","",MAX(0,$I$7-$E101))</f>
      </c>
      <c r="G101" t="str" s="30" cm="1">
        <f t="array" ref="G101">IF($E101="","",$F101*$D$7)</f>
      </c>
      <c r="H101" t="str" s="30" cm="1">
        <f t="array" ref="H101">IF($E101="","",$T101+IF(AND($V$6&gt;=$D$8,COUNT($E$11:$E101)=$V$7+1),$D$8,0))</f>
      </c>
      <c r="I101" t="str" s="30" cm="1">
        <f t="array" ref="I101">IF($D101="","",IF(ISTEXT($D101),LEN($D101)-LEN(SUBSTITUTE($D101,":","")),-1))</f>
      </c>
      <c r="J101" s="29" cm="1">
        <f t="array" ref="J101">_xlfn.IFERROR(FIND(":",$D101),0)</f>
        <v>0</v>
      </c>
      <c r="K101" s="29" cm="1">
        <f t="array" ref="K101">_xlfn.IFERROR(FIND(":",$D101,$J101+1),0)</f>
        <v>0</v>
      </c>
      <c r="L101" t="str" s="30" cm="1">
        <f t="array" ref="L101">IF($D101="","",IF($I101=2,MID($D101,$K101+1,10),IF($I101=1,MID($D101,$J101+1,10),IF($I101=0,$D101,""))))</f>
      </c>
      <c r="M101" s="29" cm="1">
        <f t="array" ref="M101">IF($L101="",0,_xlfn.IFERROR(FIND(".",SUBSTITUTE($L101,",",".")),0))</f>
        <v>0</v>
      </c>
      <c r="N101" s="29" cm="1">
        <f t="array" ref="N101">IF($E101="",10^9,$E101)</f>
        <v>1000000000</v>
      </c>
      <c r="O101" t="str" s="30" cm="1">
        <f t="array" ref="O101">IF($E101="","",SUM($E$11:$E101))</f>
      </c>
      <c r="P101" t="str" s="30" cm="1">
        <f t="array" ref="P101">IF($E101="","",($D$6/$D$7+$O101)/COUNT($E$11:$E101))</f>
      </c>
      <c r="Q101" s="29" cm="1">
        <f t="array" ref="Q101">IF($E101="",0,IF(AND($E101&lt;$P101,OR($E102="",$P101&lt;=$E102)),1,0))</f>
        <v>0</v>
      </c>
      <c r="R101" s="27" cm="1">
        <f t="array" ref="R101">IF($V$4=0,"",ROUND($V$4,1)-10+(101-11)*0.1)</f>
        <v>2522.1</v>
      </c>
      <c r="S101" s="28">
        <v>20000</v>
      </c>
      <c r="T101" t="str" s="30" cm="1">
        <f t="array" ref="T101">IF($E101="","",ROUND($G101/$D$8,0)*$D$8)</f>
      </c>
      <c r="U101" s="14"/>
      <c r="V101" s="8"/>
    </row>
    <row r="102" ht="13.55" customHeight="1">
      <c r="A102" t="str" s="30" cm="1">
        <f t="array" ref="A102">IF($E102="","",COUNT($E$11:$E102))</f>
      </c>
      <c r="B102" s="39"/>
      <c r="C102" s="39"/>
      <c r="D102" s="39"/>
      <c r="E102" t="str" s="30" cm="1">
        <f t="array" ref="E102">IF($D102="","",_xlfn.IFERROR(IF($I102=-1,IF($D102&lt;0.5,$D102*86400,IF($D102&lt;100,$D102*1440,$D102)),IF($I102=2,VALUE(LEFT($D102,$J102-1))*3600+VALUE(MID($D102,$J102+1,$K102-$J102-1))*60,IF($I102=1,VALUE(LEFT($D102,$J102-1))*60,0))+IF($M102=0,VALUE($L102),VALUE(LEFT($L102,$M102-1))+VALUE(MID($L102,$M102+1,10))/10^(LEN($L102)-$M102))),""))</f>
      </c>
      <c r="F102" t="str" s="30" cm="1">
        <f t="array" ref="F102">IF($E102="","",MAX(0,$I$7-$E102))</f>
      </c>
      <c r="G102" t="str" s="30" cm="1">
        <f t="array" ref="G102">IF($E102="","",$F102*$D$7)</f>
      </c>
      <c r="H102" t="str" s="30" cm="1">
        <f t="array" ref="H102">IF($E102="","",$T102+IF(AND($V$6&gt;=$D$8,COUNT($E$11:$E102)=$V$7+1),$D$8,0))</f>
      </c>
      <c r="I102" t="str" s="30" cm="1">
        <f t="array" ref="I102">IF($D102="","",IF(ISTEXT($D102),LEN($D102)-LEN(SUBSTITUTE($D102,":","")),-1))</f>
      </c>
      <c r="J102" s="29" cm="1">
        <f t="array" ref="J102">_xlfn.IFERROR(FIND(":",$D102),0)</f>
        <v>0</v>
      </c>
      <c r="K102" s="29" cm="1">
        <f t="array" ref="K102">_xlfn.IFERROR(FIND(":",$D102,$J102+1),0)</f>
        <v>0</v>
      </c>
      <c r="L102" t="str" s="30" cm="1">
        <f t="array" ref="L102">IF($D102="","",IF($I102=2,MID($D102,$K102+1,10),IF($I102=1,MID($D102,$J102+1,10),IF($I102=0,$D102,""))))</f>
      </c>
      <c r="M102" s="29" cm="1">
        <f t="array" ref="M102">IF($L102="",0,_xlfn.IFERROR(FIND(".",SUBSTITUTE($L102,",",".")),0))</f>
        <v>0</v>
      </c>
      <c r="N102" s="29" cm="1">
        <f t="array" ref="N102">IF($E102="",10^9,$E102)</f>
        <v>1000000000</v>
      </c>
      <c r="O102" t="str" s="30" cm="1">
        <f t="array" ref="O102">IF($E102="","",SUM($E$11:$E102))</f>
      </c>
      <c r="P102" t="str" s="30" cm="1">
        <f t="array" ref="P102">IF($E102="","",($D$6/$D$7+$O102)/COUNT($E$11:$E102))</f>
      </c>
      <c r="Q102" s="29" cm="1">
        <f t="array" ref="Q102">IF($E102="",0,IF(AND($E102&lt;$P102,OR($E103="",$P102&lt;=$E103)),1,0))</f>
        <v>0</v>
      </c>
      <c r="R102" s="27" cm="1">
        <f t="array" ref="R102">IF($V$4=0,"",ROUND($V$4,1)-10+(102-11)*0.1)</f>
        <v>2522.2</v>
      </c>
      <c r="S102" s="28">
        <v>20000</v>
      </c>
      <c r="T102" t="str" s="30" cm="1">
        <f t="array" ref="T102">IF($E102="","",ROUND($G102/$D$8,0)*$D$8)</f>
      </c>
      <c r="U102" s="14"/>
      <c r="V102" s="8"/>
    </row>
    <row r="103" ht="13.55" customHeight="1">
      <c r="A103" t="str" s="30" cm="1">
        <f t="array" ref="A103">IF($E103="","",COUNT($E$11:$E103))</f>
      </c>
      <c r="B103" s="39"/>
      <c r="C103" s="39"/>
      <c r="D103" s="39"/>
      <c r="E103" t="str" s="30" cm="1">
        <f t="array" ref="E103">IF($D103="","",_xlfn.IFERROR(IF($I103=-1,IF($D103&lt;0.5,$D103*86400,IF($D103&lt;100,$D103*1440,$D103)),IF($I103=2,VALUE(LEFT($D103,$J103-1))*3600+VALUE(MID($D103,$J103+1,$K103-$J103-1))*60,IF($I103=1,VALUE(LEFT($D103,$J103-1))*60,0))+IF($M103=0,VALUE($L103),VALUE(LEFT($L103,$M103-1))+VALUE(MID($L103,$M103+1,10))/10^(LEN($L103)-$M103))),""))</f>
      </c>
      <c r="F103" t="str" s="30" cm="1">
        <f t="array" ref="F103">IF($E103="","",MAX(0,$I$7-$E103))</f>
      </c>
      <c r="G103" t="str" s="30" cm="1">
        <f t="array" ref="G103">IF($E103="","",$F103*$D$7)</f>
      </c>
      <c r="H103" t="str" s="30" cm="1">
        <f t="array" ref="H103">IF($E103="","",$T103+IF(AND($V$6&gt;=$D$8,COUNT($E$11:$E103)=$V$7+1),$D$8,0))</f>
      </c>
      <c r="I103" t="str" s="30" cm="1">
        <f t="array" ref="I103">IF($D103="","",IF(ISTEXT($D103),LEN($D103)-LEN(SUBSTITUTE($D103,":","")),-1))</f>
      </c>
      <c r="J103" s="29" cm="1">
        <f t="array" ref="J103">_xlfn.IFERROR(FIND(":",$D103),0)</f>
        <v>0</v>
      </c>
      <c r="K103" s="29" cm="1">
        <f t="array" ref="K103">_xlfn.IFERROR(FIND(":",$D103,$J103+1),0)</f>
        <v>0</v>
      </c>
      <c r="L103" t="str" s="30" cm="1">
        <f t="array" ref="L103">IF($D103="","",IF($I103=2,MID($D103,$K103+1,10),IF($I103=1,MID($D103,$J103+1,10),IF($I103=0,$D103,""))))</f>
      </c>
      <c r="M103" s="29" cm="1">
        <f t="array" ref="M103">IF($L103="",0,_xlfn.IFERROR(FIND(".",SUBSTITUTE($L103,",",".")),0))</f>
        <v>0</v>
      </c>
      <c r="N103" s="29" cm="1">
        <f t="array" ref="N103">IF($E103="",10^9,$E103)</f>
        <v>1000000000</v>
      </c>
      <c r="O103" t="str" s="30" cm="1">
        <f t="array" ref="O103">IF($E103="","",SUM($E$11:$E103))</f>
      </c>
      <c r="P103" t="str" s="30" cm="1">
        <f t="array" ref="P103">IF($E103="","",($D$6/$D$7+$O103)/COUNT($E$11:$E103))</f>
      </c>
      <c r="Q103" s="29" cm="1">
        <f t="array" ref="Q103">IF($E103="",0,IF(AND($E103&lt;$P103,OR($E104="",$P103&lt;=$E104)),1,0))</f>
        <v>0</v>
      </c>
      <c r="R103" s="27" cm="1">
        <f t="array" ref="R103">IF($V$4=0,"",ROUND($V$4,1)-10+(103-11)*0.1)</f>
        <v>2522.3</v>
      </c>
      <c r="S103" s="28">
        <v>20000</v>
      </c>
      <c r="T103" t="str" s="30" cm="1">
        <f t="array" ref="T103">IF($E103="","",ROUND($G103/$D$8,0)*$D$8)</f>
      </c>
      <c r="U103" s="14"/>
      <c r="V103" s="8"/>
    </row>
    <row r="104" ht="13.55" customHeight="1">
      <c r="A104" t="str" s="30" cm="1">
        <f t="array" ref="A104">IF($E104="","",COUNT($E$11:$E104))</f>
      </c>
      <c r="B104" s="39"/>
      <c r="C104" s="39"/>
      <c r="D104" s="39"/>
      <c r="E104" t="str" s="30" cm="1">
        <f t="array" ref="E104">IF($D104="","",_xlfn.IFERROR(IF($I104=-1,IF($D104&lt;0.5,$D104*86400,IF($D104&lt;100,$D104*1440,$D104)),IF($I104=2,VALUE(LEFT($D104,$J104-1))*3600+VALUE(MID($D104,$J104+1,$K104-$J104-1))*60,IF($I104=1,VALUE(LEFT($D104,$J104-1))*60,0))+IF($M104=0,VALUE($L104),VALUE(LEFT($L104,$M104-1))+VALUE(MID($L104,$M104+1,10))/10^(LEN($L104)-$M104))),""))</f>
      </c>
      <c r="F104" t="str" s="30" cm="1">
        <f t="array" ref="F104">IF($E104="","",MAX(0,$I$7-$E104))</f>
      </c>
      <c r="G104" t="str" s="30" cm="1">
        <f t="array" ref="G104">IF($E104="","",$F104*$D$7)</f>
      </c>
      <c r="H104" t="str" s="30" cm="1">
        <f t="array" ref="H104">IF($E104="","",$T104+IF(AND($V$6&gt;=$D$8,COUNT($E$11:$E104)=$V$7+1),$D$8,0))</f>
      </c>
      <c r="I104" t="str" s="30" cm="1">
        <f t="array" ref="I104">IF($D104="","",IF(ISTEXT($D104),LEN($D104)-LEN(SUBSTITUTE($D104,":","")),-1))</f>
      </c>
      <c r="J104" s="29" cm="1">
        <f t="array" ref="J104">_xlfn.IFERROR(FIND(":",$D104),0)</f>
        <v>0</v>
      </c>
      <c r="K104" s="29" cm="1">
        <f t="array" ref="K104">_xlfn.IFERROR(FIND(":",$D104,$J104+1),0)</f>
        <v>0</v>
      </c>
      <c r="L104" t="str" s="30" cm="1">
        <f t="array" ref="L104">IF($D104="","",IF($I104=2,MID($D104,$K104+1,10),IF($I104=1,MID($D104,$J104+1,10),IF($I104=0,$D104,""))))</f>
      </c>
      <c r="M104" s="29" cm="1">
        <f t="array" ref="M104">IF($L104="",0,_xlfn.IFERROR(FIND(".",SUBSTITUTE($L104,",",".")),0))</f>
        <v>0</v>
      </c>
      <c r="N104" s="29" cm="1">
        <f t="array" ref="N104">IF($E104="",10^9,$E104)</f>
        <v>1000000000</v>
      </c>
      <c r="O104" t="str" s="30" cm="1">
        <f t="array" ref="O104">IF($E104="","",SUM($E$11:$E104))</f>
      </c>
      <c r="P104" t="str" s="30" cm="1">
        <f t="array" ref="P104">IF($E104="","",($D$6/$D$7+$O104)/COUNT($E$11:$E104))</f>
      </c>
      <c r="Q104" s="29" cm="1">
        <f t="array" ref="Q104">IF($E104="",0,IF(AND($E104&lt;$P104,OR($E105="",$P104&lt;=$E105)),1,0))</f>
        <v>0</v>
      </c>
      <c r="R104" s="27" cm="1">
        <f t="array" ref="R104">IF($V$4=0,"",ROUND($V$4,1)-10+(104-11)*0.1)</f>
        <v>2522.4</v>
      </c>
      <c r="S104" s="28">
        <v>20000</v>
      </c>
      <c r="T104" t="str" s="30" cm="1">
        <f t="array" ref="T104">IF($E104="","",ROUND($G104/$D$8,0)*$D$8)</f>
      </c>
      <c r="U104" s="14"/>
      <c r="V104" s="8"/>
    </row>
    <row r="105" ht="13.55" customHeight="1">
      <c r="A105" t="str" s="30" cm="1">
        <f t="array" ref="A105">IF($E105="","",COUNT($E$11:$E105))</f>
      </c>
      <c r="B105" s="39"/>
      <c r="C105" s="39"/>
      <c r="D105" s="39"/>
      <c r="E105" t="str" s="30" cm="1">
        <f t="array" ref="E105">IF($D105="","",_xlfn.IFERROR(IF($I105=-1,IF($D105&lt;0.5,$D105*86400,IF($D105&lt;100,$D105*1440,$D105)),IF($I105=2,VALUE(LEFT($D105,$J105-1))*3600+VALUE(MID($D105,$J105+1,$K105-$J105-1))*60,IF($I105=1,VALUE(LEFT($D105,$J105-1))*60,0))+IF($M105=0,VALUE($L105),VALUE(LEFT($L105,$M105-1))+VALUE(MID($L105,$M105+1,10))/10^(LEN($L105)-$M105))),""))</f>
      </c>
      <c r="F105" t="str" s="30" cm="1">
        <f t="array" ref="F105">IF($E105="","",MAX(0,$I$7-$E105))</f>
      </c>
      <c r="G105" t="str" s="30" cm="1">
        <f t="array" ref="G105">IF($E105="","",$F105*$D$7)</f>
      </c>
      <c r="H105" t="str" s="30" cm="1">
        <f t="array" ref="H105">IF($E105="","",$T105+IF(AND($V$6&gt;=$D$8,COUNT($E$11:$E105)=$V$7+1),$D$8,0))</f>
      </c>
      <c r="I105" t="str" s="30" cm="1">
        <f t="array" ref="I105">IF($D105="","",IF(ISTEXT($D105),LEN($D105)-LEN(SUBSTITUTE($D105,":","")),-1))</f>
      </c>
      <c r="J105" s="29" cm="1">
        <f t="array" ref="J105">_xlfn.IFERROR(FIND(":",$D105),0)</f>
        <v>0</v>
      </c>
      <c r="K105" s="29" cm="1">
        <f t="array" ref="K105">_xlfn.IFERROR(FIND(":",$D105,$J105+1),0)</f>
        <v>0</v>
      </c>
      <c r="L105" t="str" s="30" cm="1">
        <f t="array" ref="L105">IF($D105="","",IF($I105=2,MID($D105,$K105+1,10),IF($I105=1,MID($D105,$J105+1,10),IF($I105=0,$D105,""))))</f>
      </c>
      <c r="M105" s="29" cm="1">
        <f t="array" ref="M105">IF($L105="",0,_xlfn.IFERROR(FIND(".",SUBSTITUTE($L105,",",".")),0))</f>
        <v>0</v>
      </c>
      <c r="N105" s="29" cm="1">
        <f t="array" ref="N105">IF($E105="",10^9,$E105)</f>
        <v>1000000000</v>
      </c>
      <c r="O105" t="str" s="30" cm="1">
        <f t="array" ref="O105">IF($E105="","",SUM($E$11:$E105))</f>
      </c>
      <c r="P105" t="str" s="30" cm="1">
        <f t="array" ref="P105">IF($E105="","",($D$6/$D$7+$O105)/COUNT($E$11:$E105))</f>
      </c>
      <c r="Q105" s="29" cm="1">
        <f t="array" ref="Q105">IF($E105="",0,IF(AND($E105&lt;$P105,OR($E106="",$P105&lt;=$E106)),1,0))</f>
        <v>0</v>
      </c>
      <c r="R105" s="27" cm="1">
        <f t="array" ref="R105">IF($V$4=0,"",ROUND($V$4,1)-10+(105-11)*0.1)</f>
        <v>2522.5</v>
      </c>
      <c r="S105" s="28">
        <v>20000</v>
      </c>
      <c r="T105" t="str" s="30" cm="1">
        <f t="array" ref="T105">IF($E105="","",ROUND($G105/$D$8,0)*$D$8)</f>
      </c>
      <c r="U105" s="14"/>
      <c r="V105" s="8"/>
    </row>
    <row r="106" ht="13.55" customHeight="1">
      <c r="A106" t="str" s="30" cm="1">
        <f t="array" ref="A106">IF($E106="","",COUNT($E$11:$E106))</f>
      </c>
      <c r="B106" s="39"/>
      <c r="C106" s="39"/>
      <c r="D106" s="39"/>
      <c r="E106" t="str" s="30" cm="1">
        <f t="array" ref="E106">IF($D106="","",_xlfn.IFERROR(IF($I106=-1,IF($D106&lt;0.5,$D106*86400,IF($D106&lt;100,$D106*1440,$D106)),IF($I106=2,VALUE(LEFT($D106,$J106-1))*3600+VALUE(MID($D106,$J106+1,$K106-$J106-1))*60,IF($I106=1,VALUE(LEFT($D106,$J106-1))*60,0))+IF($M106=0,VALUE($L106),VALUE(LEFT($L106,$M106-1))+VALUE(MID($L106,$M106+1,10))/10^(LEN($L106)-$M106))),""))</f>
      </c>
      <c r="F106" t="str" s="30" cm="1">
        <f t="array" ref="F106">IF($E106="","",MAX(0,$I$7-$E106))</f>
      </c>
      <c r="G106" t="str" s="30" cm="1">
        <f t="array" ref="G106">IF($E106="","",$F106*$D$7)</f>
      </c>
      <c r="H106" t="str" s="30" cm="1">
        <f t="array" ref="H106">IF($E106="","",$T106+IF(AND($V$6&gt;=$D$8,COUNT($E$11:$E106)=$V$7+1),$D$8,0))</f>
      </c>
      <c r="I106" t="str" s="30" cm="1">
        <f t="array" ref="I106">IF($D106="","",IF(ISTEXT($D106),LEN($D106)-LEN(SUBSTITUTE($D106,":","")),-1))</f>
      </c>
      <c r="J106" s="29" cm="1">
        <f t="array" ref="J106">_xlfn.IFERROR(FIND(":",$D106),0)</f>
        <v>0</v>
      </c>
      <c r="K106" s="29" cm="1">
        <f t="array" ref="K106">_xlfn.IFERROR(FIND(":",$D106,$J106+1),0)</f>
        <v>0</v>
      </c>
      <c r="L106" t="str" s="30" cm="1">
        <f t="array" ref="L106">IF($D106="","",IF($I106=2,MID($D106,$K106+1,10),IF($I106=1,MID($D106,$J106+1,10),IF($I106=0,$D106,""))))</f>
      </c>
      <c r="M106" s="29" cm="1">
        <f t="array" ref="M106">IF($L106="",0,_xlfn.IFERROR(FIND(".",SUBSTITUTE($L106,",",".")),0))</f>
        <v>0</v>
      </c>
      <c r="N106" s="29" cm="1">
        <f t="array" ref="N106">IF($E106="",10^9,$E106)</f>
        <v>1000000000</v>
      </c>
      <c r="O106" t="str" s="30" cm="1">
        <f t="array" ref="O106">IF($E106="","",SUM($E$11:$E106))</f>
      </c>
      <c r="P106" t="str" s="30" cm="1">
        <f t="array" ref="P106">IF($E106="","",($D$6/$D$7+$O106)/COUNT($E$11:$E106))</f>
      </c>
      <c r="Q106" s="29" cm="1">
        <f t="array" ref="Q106">IF($E106="",0,IF(AND($E106&lt;$P106,OR($E107="",$P106&lt;=$E107)),1,0))</f>
        <v>0</v>
      </c>
      <c r="R106" s="27" cm="1">
        <f t="array" ref="R106">IF($V$4=0,"",ROUND($V$4,1)-10+(106-11)*0.1)</f>
        <v>2522.6</v>
      </c>
      <c r="S106" s="28">
        <v>20000</v>
      </c>
      <c r="T106" t="str" s="30" cm="1">
        <f t="array" ref="T106">IF($E106="","",ROUND($G106/$D$8,0)*$D$8)</f>
      </c>
      <c r="U106" s="14"/>
      <c r="V106" s="8"/>
    </row>
    <row r="107" ht="13.55" customHeight="1">
      <c r="A107" t="str" s="30" cm="1">
        <f t="array" ref="A107">IF($E107="","",COUNT($E$11:$E107))</f>
      </c>
      <c r="B107" s="39"/>
      <c r="C107" s="39"/>
      <c r="D107" s="39"/>
      <c r="E107" t="str" s="30" cm="1">
        <f t="array" ref="E107">IF($D107="","",_xlfn.IFERROR(IF($I107=-1,IF($D107&lt;0.5,$D107*86400,IF($D107&lt;100,$D107*1440,$D107)),IF($I107=2,VALUE(LEFT($D107,$J107-1))*3600+VALUE(MID($D107,$J107+1,$K107-$J107-1))*60,IF($I107=1,VALUE(LEFT($D107,$J107-1))*60,0))+IF($M107=0,VALUE($L107),VALUE(LEFT($L107,$M107-1))+VALUE(MID($L107,$M107+1,10))/10^(LEN($L107)-$M107))),""))</f>
      </c>
      <c r="F107" t="str" s="30" cm="1">
        <f t="array" ref="F107">IF($E107="","",MAX(0,$I$7-$E107))</f>
      </c>
      <c r="G107" t="str" s="30" cm="1">
        <f t="array" ref="G107">IF($E107="","",$F107*$D$7)</f>
      </c>
      <c r="H107" t="str" s="30" cm="1">
        <f t="array" ref="H107">IF($E107="","",$T107+IF(AND($V$6&gt;=$D$8,COUNT($E$11:$E107)=$V$7+1),$D$8,0))</f>
      </c>
      <c r="I107" t="str" s="30" cm="1">
        <f t="array" ref="I107">IF($D107="","",IF(ISTEXT($D107),LEN($D107)-LEN(SUBSTITUTE($D107,":","")),-1))</f>
      </c>
      <c r="J107" s="29" cm="1">
        <f t="array" ref="J107">_xlfn.IFERROR(FIND(":",$D107),0)</f>
        <v>0</v>
      </c>
      <c r="K107" s="29" cm="1">
        <f t="array" ref="K107">_xlfn.IFERROR(FIND(":",$D107,$J107+1),0)</f>
        <v>0</v>
      </c>
      <c r="L107" t="str" s="30" cm="1">
        <f t="array" ref="L107">IF($D107="","",IF($I107=2,MID($D107,$K107+1,10),IF($I107=1,MID($D107,$J107+1,10),IF($I107=0,$D107,""))))</f>
      </c>
      <c r="M107" s="29" cm="1">
        <f t="array" ref="M107">IF($L107="",0,_xlfn.IFERROR(FIND(".",SUBSTITUTE($L107,",",".")),0))</f>
        <v>0</v>
      </c>
      <c r="N107" s="29" cm="1">
        <f t="array" ref="N107">IF($E107="",10^9,$E107)</f>
        <v>1000000000</v>
      </c>
      <c r="O107" t="str" s="30" cm="1">
        <f t="array" ref="O107">IF($E107="","",SUM($E$11:$E107))</f>
      </c>
      <c r="P107" t="str" s="30" cm="1">
        <f t="array" ref="P107">IF($E107="","",($D$6/$D$7+$O107)/COUNT($E$11:$E107))</f>
      </c>
      <c r="Q107" s="29" cm="1">
        <f t="array" ref="Q107">IF($E107="",0,IF(AND($E107&lt;$P107,OR($E108="",$P107&lt;=$E108)),1,0))</f>
        <v>0</v>
      </c>
      <c r="R107" s="27" cm="1">
        <f t="array" ref="R107">IF($V$4=0,"",ROUND($V$4,1)-10+(107-11)*0.1)</f>
        <v>2522.7</v>
      </c>
      <c r="S107" s="28">
        <v>20000</v>
      </c>
      <c r="T107" t="str" s="30" cm="1">
        <f t="array" ref="T107">IF($E107="","",ROUND($G107/$D$8,0)*$D$8)</f>
      </c>
      <c r="U107" s="14"/>
      <c r="V107" s="8"/>
    </row>
    <row r="108" ht="13.55" customHeight="1">
      <c r="A108" t="str" s="30" cm="1">
        <f t="array" ref="A108">IF($E108="","",COUNT($E$11:$E108))</f>
      </c>
      <c r="B108" s="39"/>
      <c r="C108" s="39"/>
      <c r="D108" s="39"/>
      <c r="E108" t="str" s="30" cm="1">
        <f t="array" ref="E108">IF($D108="","",_xlfn.IFERROR(IF($I108=-1,IF($D108&lt;0.5,$D108*86400,IF($D108&lt;100,$D108*1440,$D108)),IF($I108=2,VALUE(LEFT($D108,$J108-1))*3600+VALUE(MID($D108,$J108+1,$K108-$J108-1))*60,IF($I108=1,VALUE(LEFT($D108,$J108-1))*60,0))+IF($M108=0,VALUE($L108),VALUE(LEFT($L108,$M108-1))+VALUE(MID($L108,$M108+1,10))/10^(LEN($L108)-$M108))),""))</f>
      </c>
      <c r="F108" t="str" s="30" cm="1">
        <f t="array" ref="F108">IF($E108="","",MAX(0,$I$7-$E108))</f>
      </c>
      <c r="G108" t="str" s="30" cm="1">
        <f t="array" ref="G108">IF($E108="","",$F108*$D$7)</f>
      </c>
      <c r="H108" t="str" s="30" cm="1">
        <f t="array" ref="H108">IF($E108="","",$T108+IF(AND($V$6&gt;=$D$8,COUNT($E$11:$E108)=$V$7+1),$D$8,0))</f>
      </c>
      <c r="I108" t="str" s="30" cm="1">
        <f t="array" ref="I108">IF($D108="","",IF(ISTEXT($D108),LEN($D108)-LEN(SUBSTITUTE($D108,":","")),-1))</f>
      </c>
      <c r="J108" s="29" cm="1">
        <f t="array" ref="J108">_xlfn.IFERROR(FIND(":",$D108),0)</f>
        <v>0</v>
      </c>
      <c r="K108" s="29" cm="1">
        <f t="array" ref="K108">_xlfn.IFERROR(FIND(":",$D108,$J108+1),0)</f>
        <v>0</v>
      </c>
      <c r="L108" t="str" s="30" cm="1">
        <f t="array" ref="L108">IF($D108="","",IF($I108=2,MID($D108,$K108+1,10),IF($I108=1,MID($D108,$J108+1,10),IF($I108=0,$D108,""))))</f>
      </c>
      <c r="M108" s="29" cm="1">
        <f t="array" ref="M108">IF($L108="",0,_xlfn.IFERROR(FIND(".",SUBSTITUTE($L108,",",".")),0))</f>
        <v>0</v>
      </c>
      <c r="N108" s="29" cm="1">
        <f t="array" ref="N108">IF($E108="",10^9,$E108)</f>
        <v>1000000000</v>
      </c>
      <c r="O108" t="str" s="30" cm="1">
        <f t="array" ref="O108">IF($E108="","",SUM($E$11:$E108))</f>
      </c>
      <c r="P108" t="str" s="30" cm="1">
        <f t="array" ref="P108">IF($E108="","",($D$6/$D$7+$O108)/COUNT($E$11:$E108))</f>
      </c>
      <c r="Q108" s="29" cm="1">
        <f t="array" ref="Q108">IF($E108="",0,IF(AND($E108&lt;$P108,OR($E109="",$P108&lt;=$E109)),1,0))</f>
        <v>0</v>
      </c>
      <c r="R108" s="27" cm="1">
        <f t="array" ref="R108">IF($V$4=0,"",ROUND($V$4,1)-10+(108-11)*0.1)</f>
        <v>2522.8</v>
      </c>
      <c r="S108" s="28">
        <v>20000</v>
      </c>
      <c r="T108" t="str" s="30" cm="1">
        <f t="array" ref="T108">IF($E108="","",ROUND($G108/$D$8,0)*$D$8)</f>
      </c>
      <c r="U108" s="14"/>
      <c r="V108" s="8"/>
    </row>
    <row r="109" ht="13.55" customHeight="1">
      <c r="A109" t="str" s="30" cm="1">
        <f t="array" ref="A109">IF($E109="","",COUNT($E$11:$E109))</f>
      </c>
      <c r="B109" s="39"/>
      <c r="C109" s="39"/>
      <c r="D109" s="39"/>
      <c r="E109" t="str" s="30" cm="1">
        <f t="array" ref="E109">IF($D109="","",_xlfn.IFERROR(IF($I109=-1,IF($D109&lt;0.5,$D109*86400,IF($D109&lt;100,$D109*1440,$D109)),IF($I109=2,VALUE(LEFT($D109,$J109-1))*3600+VALUE(MID($D109,$J109+1,$K109-$J109-1))*60,IF($I109=1,VALUE(LEFT($D109,$J109-1))*60,0))+IF($M109=0,VALUE($L109),VALUE(LEFT($L109,$M109-1))+VALUE(MID($L109,$M109+1,10))/10^(LEN($L109)-$M109))),""))</f>
      </c>
      <c r="F109" t="str" s="30" cm="1">
        <f t="array" ref="F109">IF($E109="","",MAX(0,$I$7-$E109))</f>
      </c>
      <c r="G109" t="str" s="30" cm="1">
        <f t="array" ref="G109">IF($E109="","",$F109*$D$7)</f>
      </c>
      <c r="H109" t="str" s="30" cm="1">
        <f t="array" ref="H109">IF($E109="","",$T109+IF(AND($V$6&gt;=$D$8,COUNT($E$11:$E109)=$V$7+1),$D$8,0))</f>
      </c>
      <c r="I109" t="str" s="30" cm="1">
        <f t="array" ref="I109">IF($D109="","",IF(ISTEXT($D109),LEN($D109)-LEN(SUBSTITUTE($D109,":","")),-1))</f>
      </c>
      <c r="J109" s="29" cm="1">
        <f t="array" ref="J109">_xlfn.IFERROR(FIND(":",$D109),0)</f>
        <v>0</v>
      </c>
      <c r="K109" s="29" cm="1">
        <f t="array" ref="K109">_xlfn.IFERROR(FIND(":",$D109,$J109+1),0)</f>
        <v>0</v>
      </c>
      <c r="L109" t="str" s="30" cm="1">
        <f t="array" ref="L109">IF($D109="","",IF($I109=2,MID($D109,$K109+1,10),IF($I109=1,MID($D109,$J109+1,10),IF($I109=0,$D109,""))))</f>
      </c>
      <c r="M109" s="29" cm="1">
        <f t="array" ref="M109">IF($L109="",0,_xlfn.IFERROR(FIND(".",SUBSTITUTE($L109,",",".")),0))</f>
        <v>0</v>
      </c>
      <c r="N109" s="29" cm="1">
        <f t="array" ref="N109">IF($E109="",10^9,$E109)</f>
        <v>1000000000</v>
      </c>
      <c r="O109" t="str" s="30" cm="1">
        <f t="array" ref="O109">IF($E109="","",SUM($E$11:$E109))</f>
      </c>
      <c r="P109" t="str" s="30" cm="1">
        <f t="array" ref="P109">IF($E109="","",($D$6/$D$7+$O109)/COUNT($E$11:$E109))</f>
      </c>
      <c r="Q109" s="29" cm="1">
        <f t="array" ref="Q109">IF($E109="",0,IF(AND($E109&lt;$P109,OR($E110="",$P109&lt;=$E110)),1,0))</f>
        <v>0</v>
      </c>
      <c r="R109" s="27" cm="1">
        <f t="array" ref="R109">IF($V$4=0,"",ROUND($V$4,1)-10+(109-11)*0.1)</f>
        <v>2522.9</v>
      </c>
      <c r="S109" s="28">
        <v>20000</v>
      </c>
      <c r="T109" t="str" s="30" cm="1">
        <f t="array" ref="T109">IF($E109="","",ROUND($G109/$D$8,0)*$D$8)</f>
      </c>
      <c r="U109" s="14"/>
      <c r="V109" s="8"/>
    </row>
    <row r="110" ht="13.55" customHeight="1">
      <c r="A110" t="str" s="30" cm="1">
        <f t="array" ref="A110">IF($E110="","",COUNT($E$11:$E110))</f>
      </c>
      <c r="B110" s="39"/>
      <c r="C110" s="39"/>
      <c r="D110" s="39"/>
      <c r="E110" t="str" s="30" cm="1">
        <f t="array" ref="E110">IF($D110="","",_xlfn.IFERROR(IF($I110=-1,IF($D110&lt;0.5,$D110*86400,IF($D110&lt;100,$D110*1440,$D110)),IF($I110=2,VALUE(LEFT($D110,$J110-1))*3600+VALUE(MID($D110,$J110+1,$K110-$J110-1))*60,IF($I110=1,VALUE(LEFT($D110,$J110-1))*60,0))+IF($M110=0,VALUE($L110),VALUE(LEFT($L110,$M110-1))+VALUE(MID($L110,$M110+1,10))/10^(LEN($L110)-$M110))),""))</f>
      </c>
      <c r="F110" t="str" s="30" cm="1">
        <f t="array" ref="F110">IF($E110="","",MAX(0,$I$7-$E110))</f>
      </c>
      <c r="G110" t="str" s="30" cm="1">
        <f t="array" ref="G110">IF($E110="","",$F110*$D$7)</f>
      </c>
      <c r="H110" t="str" s="30" cm="1">
        <f t="array" ref="H110">IF($E110="","",$T110+IF(AND($V$6&gt;=$D$8,COUNT($E$11:$E110)=$V$7+1),$D$8,0))</f>
      </c>
      <c r="I110" t="str" s="30" cm="1">
        <f t="array" ref="I110">IF($D110="","",IF(ISTEXT($D110),LEN($D110)-LEN(SUBSTITUTE($D110,":","")),-1))</f>
      </c>
      <c r="J110" s="29" cm="1">
        <f t="array" ref="J110">_xlfn.IFERROR(FIND(":",$D110),0)</f>
        <v>0</v>
      </c>
      <c r="K110" s="29" cm="1">
        <f t="array" ref="K110">_xlfn.IFERROR(FIND(":",$D110,$J110+1),0)</f>
        <v>0</v>
      </c>
      <c r="L110" t="str" s="30" cm="1">
        <f t="array" ref="L110">IF($D110="","",IF($I110=2,MID($D110,$K110+1,10),IF($I110=1,MID($D110,$J110+1,10),IF($I110=0,$D110,""))))</f>
      </c>
      <c r="M110" s="29" cm="1">
        <f t="array" ref="M110">IF($L110="",0,_xlfn.IFERROR(FIND(".",SUBSTITUTE($L110,",",".")),0))</f>
        <v>0</v>
      </c>
      <c r="N110" s="29" cm="1">
        <f t="array" ref="N110">IF($E110="",10^9,$E110)</f>
        <v>1000000000</v>
      </c>
      <c r="O110" t="str" s="30" cm="1">
        <f t="array" ref="O110">IF($E110="","",SUM($E$11:$E110))</f>
      </c>
      <c r="P110" t="str" s="30" cm="1">
        <f t="array" ref="P110">IF($E110="","",($D$6/$D$7+$O110)/COUNT($E$11:$E110))</f>
      </c>
      <c r="Q110" s="29" cm="1">
        <f t="array" ref="Q110">IF($E110="",0,IF(AND($E110&lt;$P110,OR($E111="",$P110&lt;=$E111)),1,0))</f>
        <v>0</v>
      </c>
      <c r="R110" s="27" cm="1">
        <f t="array" ref="R110">IF($V$4=0,"",ROUND($V$4,1)-10+(110-11)*0.1)</f>
        <v>2523</v>
      </c>
      <c r="S110" s="28">
        <v>20000</v>
      </c>
      <c r="T110" t="str" s="30" cm="1">
        <f t="array" ref="T110">IF($E110="","",ROUND($G110/$D$8,0)*$D$8)</f>
      </c>
      <c r="U110" s="14"/>
      <c r="V110" s="8"/>
    </row>
    <row r="111" ht="13.55" customHeight="1">
      <c r="A111" t="str" s="30" cm="1">
        <f t="array" ref="A111">IF($E111="","",COUNT($E$11:$E111))</f>
      </c>
      <c r="B111" s="39"/>
      <c r="C111" s="39"/>
      <c r="D111" s="39"/>
      <c r="E111" t="str" s="30" cm="1">
        <f t="array" ref="E111">IF($D111="","",_xlfn.IFERROR(IF($I111=-1,IF($D111&lt;0.5,$D111*86400,IF($D111&lt;100,$D111*1440,$D111)),IF($I111=2,VALUE(LEFT($D111,$J111-1))*3600+VALUE(MID($D111,$J111+1,$K111-$J111-1))*60,IF($I111=1,VALUE(LEFT($D111,$J111-1))*60,0))+IF($M111=0,VALUE($L111),VALUE(LEFT($L111,$M111-1))+VALUE(MID($L111,$M111+1,10))/10^(LEN($L111)-$M111))),""))</f>
      </c>
      <c r="F111" t="str" s="30" cm="1">
        <f t="array" ref="F111">IF($E111="","",MAX(0,$I$7-$E111))</f>
      </c>
      <c r="G111" t="str" s="30" cm="1">
        <f t="array" ref="G111">IF($E111="","",$F111*$D$7)</f>
      </c>
      <c r="H111" t="str" s="30" cm="1">
        <f t="array" ref="H111">IF($E111="","",$T111+IF(AND($V$6&gt;=$D$8,COUNT($E$11:$E111)=$V$7+1),$D$8,0))</f>
      </c>
      <c r="I111" t="str" s="30" cm="1">
        <f t="array" ref="I111">IF($D111="","",IF(ISTEXT($D111),LEN($D111)-LEN(SUBSTITUTE($D111,":","")),-1))</f>
      </c>
      <c r="J111" s="29" cm="1">
        <f t="array" ref="J111">_xlfn.IFERROR(FIND(":",$D111),0)</f>
        <v>0</v>
      </c>
      <c r="K111" s="29" cm="1">
        <f t="array" ref="K111">_xlfn.IFERROR(FIND(":",$D111,$J111+1),0)</f>
        <v>0</v>
      </c>
      <c r="L111" t="str" s="30" cm="1">
        <f t="array" ref="L111">IF($D111="","",IF($I111=2,MID($D111,$K111+1,10),IF($I111=1,MID($D111,$J111+1,10),IF($I111=0,$D111,""))))</f>
      </c>
      <c r="M111" s="29" cm="1">
        <f t="array" ref="M111">IF($L111="",0,_xlfn.IFERROR(FIND(".",SUBSTITUTE($L111,",",".")),0))</f>
        <v>0</v>
      </c>
      <c r="N111" s="29" cm="1">
        <f t="array" ref="N111">IF($E111="",10^9,$E111)</f>
        <v>1000000000</v>
      </c>
      <c r="O111" t="str" s="30" cm="1">
        <f t="array" ref="O111">IF($E111="","",SUM($E$11:$E111))</f>
      </c>
      <c r="P111" t="str" s="30" cm="1">
        <f t="array" ref="P111">IF($E111="","",($D$6/$D$7+$O111)/COUNT($E$11:$E111))</f>
      </c>
      <c r="Q111" s="29" cm="1">
        <f t="array" ref="Q111">IF($E111="",0,IF(AND($E111&lt;$P111,OR($E112="",$P111&lt;=$E112)),1,0))</f>
        <v>0</v>
      </c>
      <c r="R111" s="27" cm="1">
        <f t="array" ref="R111">IF($V$4=0,"",ROUND($V$4,1)-10+(111-11)*0.1)</f>
        <v>2523.1</v>
      </c>
      <c r="S111" s="28">
        <v>20000</v>
      </c>
      <c r="T111" t="str" s="30" cm="1">
        <f t="array" ref="T111">IF($E111="","",ROUND($G111/$D$8,0)*$D$8)</f>
      </c>
      <c r="U111" s="14"/>
      <c r="V111" s="8"/>
    </row>
    <row r="112" ht="13.55" customHeight="1">
      <c r="A112" t="str" s="30" cm="1">
        <f t="array" ref="A112">IF($E112="","",COUNT($E$11:$E112))</f>
      </c>
      <c r="B112" s="39"/>
      <c r="C112" s="39"/>
      <c r="D112" s="39"/>
      <c r="E112" t="str" s="30" cm="1">
        <f t="array" ref="E112">IF($D112="","",_xlfn.IFERROR(IF($I112=-1,IF($D112&lt;0.5,$D112*86400,IF($D112&lt;100,$D112*1440,$D112)),IF($I112=2,VALUE(LEFT($D112,$J112-1))*3600+VALUE(MID($D112,$J112+1,$K112-$J112-1))*60,IF($I112=1,VALUE(LEFT($D112,$J112-1))*60,0))+IF($M112=0,VALUE($L112),VALUE(LEFT($L112,$M112-1))+VALUE(MID($L112,$M112+1,10))/10^(LEN($L112)-$M112))),""))</f>
      </c>
      <c r="F112" t="str" s="30" cm="1">
        <f t="array" ref="F112">IF($E112="","",MAX(0,$I$7-$E112))</f>
      </c>
      <c r="G112" t="str" s="30" cm="1">
        <f t="array" ref="G112">IF($E112="","",$F112*$D$7)</f>
      </c>
      <c r="H112" t="str" s="30" cm="1">
        <f t="array" ref="H112">IF($E112="","",$T112+IF(AND($V$6&gt;=$D$8,COUNT($E$11:$E112)=$V$7+1),$D$8,0))</f>
      </c>
      <c r="I112" t="str" s="30" cm="1">
        <f t="array" ref="I112">IF($D112="","",IF(ISTEXT($D112),LEN($D112)-LEN(SUBSTITUTE($D112,":","")),-1))</f>
      </c>
      <c r="J112" s="29" cm="1">
        <f t="array" ref="J112">_xlfn.IFERROR(FIND(":",$D112),0)</f>
        <v>0</v>
      </c>
      <c r="K112" s="29" cm="1">
        <f t="array" ref="K112">_xlfn.IFERROR(FIND(":",$D112,$J112+1),0)</f>
        <v>0</v>
      </c>
      <c r="L112" t="str" s="30" cm="1">
        <f t="array" ref="L112">IF($D112="","",IF($I112=2,MID($D112,$K112+1,10),IF($I112=1,MID($D112,$J112+1,10),IF($I112=0,$D112,""))))</f>
      </c>
      <c r="M112" s="29" cm="1">
        <f t="array" ref="M112">IF($L112="",0,_xlfn.IFERROR(FIND(".",SUBSTITUTE($L112,",",".")),0))</f>
        <v>0</v>
      </c>
      <c r="N112" s="29" cm="1">
        <f t="array" ref="N112">IF($E112="",10^9,$E112)</f>
        <v>1000000000</v>
      </c>
      <c r="O112" t="str" s="30" cm="1">
        <f t="array" ref="O112">IF($E112="","",SUM($E$11:$E112))</f>
      </c>
      <c r="P112" t="str" s="30" cm="1">
        <f t="array" ref="P112">IF($E112="","",($D$6/$D$7+$O112)/COUNT($E$11:$E112))</f>
      </c>
      <c r="Q112" s="29" cm="1">
        <f t="array" ref="Q112">IF($E112="",0,IF(AND($E112&lt;$P112,OR($E113="",$P112&lt;=$E113)),1,0))</f>
        <v>0</v>
      </c>
      <c r="R112" s="27" cm="1">
        <f t="array" ref="R112">IF($V$4=0,"",ROUND($V$4,1)-10+(112-11)*0.1)</f>
        <v>2523.2</v>
      </c>
      <c r="S112" s="28">
        <v>20000</v>
      </c>
      <c r="T112" t="str" s="30" cm="1">
        <f t="array" ref="T112">IF($E112="","",ROUND($G112/$D$8,0)*$D$8)</f>
      </c>
      <c r="U112" s="14"/>
      <c r="V112" s="8"/>
    </row>
    <row r="113" ht="13.55" customHeight="1">
      <c r="A113" t="str" s="30" cm="1">
        <f t="array" ref="A113">IF($E113="","",COUNT($E$11:$E113))</f>
      </c>
      <c r="B113" s="39"/>
      <c r="C113" s="39"/>
      <c r="D113" s="39"/>
      <c r="E113" t="str" s="30" cm="1">
        <f t="array" ref="E113">IF($D113="","",_xlfn.IFERROR(IF($I113=-1,IF($D113&lt;0.5,$D113*86400,IF($D113&lt;100,$D113*1440,$D113)),IF($I113=2,VALUE(LEFT($D113,$J113-1))*3600+VALUE(MID($D113,$J113+1,$K113-$J113-1))*60,IF($I113=1,VALUE(LEFT($D113,$J113-1))*60,0))+IF($M113=0,VALUE($L113),VALUE(LEFT($L113,$M113-1))+VALUE(MID($L113,$M113+1,10))/10^(LEN($L113)-$M113))),""))</f>
      </c>
      <c r="F113" t="str" s="30" cm="1">
        <f t="array" ref="F113">IF($E113="","",MAX(0,$I$7-$E113))</f>
      </c>
      <c r="G113" t="str" s="30" cm="1">
        <f t="array" ref="G113">IF($E113="","",$F113*$D$7)</f>
      </c>
      <c r="H113" t="str" s="30" cm="1">
        <f t="array" ref="H113">IF($E113="","",$T113+IF(AND($V$6&gt;=$D$8,COUNT($E$11:$E113)=$V$7+1),$D$8,0))</f>
      </c>
      <c r="I113" t="str" s="30" cm="1">
        <f t="array" ref="I113">IF($D113="","",IF(ISTEXT($D113),LEN($D113)-LEN(SUBSTITUTE($D113,":","")),-1))</f>
      </c>
      <c r="J113" s="29" cm="1">
        <f t="array" ref="J113">_xlfn.IFERROR(FIND(":",$D113),0)</f>
        <v>0</v>
      </c>
      <c r="K113" s="29" cm="1">
        <f t="array" ref="K113">_xlfn.IFERROR(FIND(":",$D113,$J113+1),0)</f>
        <v>0</v>
      </c>
      <c r="L113" t="str" s="30" cm="1">
        <f t="array" ref="L113">IF($D113="","",IF($I113=2,MID($D113,$K113+1,10),IF($I113=1,MID($D113,$J113+1,10),IF($I113=0,$D113,""))))</f>
      </c>
      <c r="M113" s="29" cm="1">
        <f t="array" ref="M113">IF($L113="",0,_xlfn.IFERROR(FIND(".",SUBSTITUTE($L113,",",".")),0))</f>
        <v>0</v>
      </c>
      <c r="N113" s="29" cm="1">
        <f t="array" ref="N113">IF($E113="",10^9,$E113)</f>
        <v>1000000000</v>
      </c>
      <c r="O113" t="str" s="30" cm="1">
        <f t="array" ref="O113">IF($E113="","",SUM($E$11:$E113))</f>
      </c>
      <c r="P113" t="str" s="30" cm="1">
        <f t="array" ref="P113">IF($E113="","",($D$6/$D$7+$O113)/COUNT($E$11:$E113))</f>
      </c>
      <c r="Q113" s="29" cm="1">
        <f t="array" ref="Q113">IF($E113="",0,IF(AND($E113&lt;$P113,OR($E114="",$P113&lt;=$E114)),1,0))</f>
        <v>0</v>
      </c>
      <c r="R113" s="27" cm="1">
        <f t="array" ref="R113">IF($V$4=0,"",ROUND($V$4,1)-10+(113-11)*0.1)</f>
        <v>2523.3</v>
      </c>
      <c r="S113" s="28">
        <v>21000</v>
      </c>
      <c r="T113" t="str" s="30" cm="1">
        <f t="array" ref="T113">IF($E113="","",ROUND($G113/$D$8,0)*$D$8)</f>
      </c>
      <c r="U113" s="14"/>
      <c r="V113" s="8"/>
    </row>
    <row r="114" ht="13.55" customHeight="1">
      <c r="A114" t="str" s="30" cm="1">
        <f t="array" ref="A114">IF($E114="","",COUNT($E$11:$E114))</f>
      </c>
      <c r="B114" s="39"/>
      <c r="C114" s="39"/>
      <c r="D114" s="39"/>
      <c r="E114" t="str" s="30" cm="1">
        <f t="array" ref="E114">IF($D114="","",_xlfn.IFERROR(IF($I114=-1,IF($D114&lt;0.5,$D114*86400,IF($D114&lt;100,$D114*1440,$D114)),IF($I114=2,VALUE(LEFT($D114,$J114-1))*3600+VALUE(MID($D114,$J114+1,$K114-$J114-1))*60,IF($I114=1,VALUE(LEFT($D114,$J114-1))*60,0))+IF($M114=0,VALUE($L114),VALUE(LEFT($L114,$M114-1))+VALUE(MID($L114,$M114+1,10))/10^(LEN($L114)-$M114))),""))</f>
      </c>
      <c r="F114" t="str" s="30" cm="1">
        <f t="array" ref="F114">IF($E114="","",MAX(0,$I$7-$E114))</f>
      </c>
      <c r="G114" t="str" s="30" cm="1">
        <f t="array" ref="G114">IF($E114="","",$F114*$D$7)</f>
      </c>
      <c r="H114" t="str" s="30" cm="1">
        <f t="array" ref="H114">IF($E114="","",$T114+IF(AND($V$6&gt;=$D$8,COUNT($E$11:$E114)=$V$7+1),$D$8,0))</f>
      </c>
      <c r="I114" t="str" s="30" cm="1">
        <f t="array" ref="I114">IF($D114="","",IF(ISTEXT($D114),LEN($D114)-LEN(SUBSTITUTE($D114,":","")),-1))</f>
      </c>
      <c r="J114" s="29" cm="1">
        <f t="array" ref="J114">_xlfn.IFERROR(FIND(":",$D114),0)</f>
        <v>0</v>
      </c>
      <c r="K114" s="29" cm="1">
        <f t="array" ref="K114">_xlfn.IFERROR(FIND(":",$D114,$J114+1),0)</f>
        <v>0</v>
      </c>
      <c r="L114" t="str" s="30" cm="1">
        <f t="array" ref="L114">IF($D114="","",IF($I114=2,MID($D114,$K114+1,10),IF($I114=1,MID($D114,$J114+1,10),IF($I114=0,$D114,""))))</f>
      </c>
      <c r="M114" s="29" cm="1">
        <f t="array" ref="M114">IF($L114="",0,_xlfn.IFERROR(FIND(".",SUBSTITUTE($L114,",",".")),0))</f>
        <v>0</v>
      </c>
      <c r="N114" s="29" cm="1">
        <f t="array" ref="N114">IF($E114="",10^9,$E114)</f>
        <v>1000000000</v>
      </c>
      <c r="O114" t="str" s="30" cm="1">
        <f t="array" ref="O114">IF($E114="","",SUM($E$11:$E114))</f>
      </c>
      <c r="P114" t="str" s="30" cm="1">
        <f t="array" ref="P114">IF($E114="","",($D$6/$D$7+$O114)/COUNT($E$11:$E114))</f>
      </c>
      <c r="Q114" s="29" cm="1">
        <f t="array" ref="Q114">IF($E114="",0,IF(AND($E114&lt;$P114,OR($E115="",$P114&lt;=$E115)),1,0))</f>
        <v>0</v>
      </c>
      <c r="R114" s="27" cm="1">
        <f t="array" ref="R114">IF($V$4=0,"",ROUND($V$4,1)-10+(114-11)*0.1)</f>
        <v>2523.4</v>
      </c>
      <c r="S114" s="28">
        <v>21000</v>
      </c>
      <c r="T114" t="str" s="30" cm="1">
        <f t="array" ref="T114">IF($E114="","",ROUND($G114/$D$8,0)*$D$8)</f>
      </c>
      <c r="U114" s="14"/>
      <c r="V114" s="8"/>
    </row>
    <row r="115" ht="13.55" customHeight="1">
      <c r="A115" t="str" s="30" cm="1">
        <f t="array" ref="A115">IF($E115="","",COUNT($E$11:$E115))</f>
      </c>
      <c r="B115" s="39"/>
      <c r="C115" s="39"/>
      <c r="D115" s="39"/>
      <c r="E115" t="str" s="30" cm="1">
        <f t="array" ref="E115">IF($D115="","",_xlfn.IFERROR(IF($I115=-1,IF($D115&lt;0.5,$D115*86400,IF($D115&lt;100,$D115*1440,$D115)),IF($I115=2,VALUE(LEFT($D115,$J115-1))*3600+VALUE(MID($D115,$J115+1,$K115-$J115-1))*60,IF($I115=1,VALUE(LEFT($D115,$J115-1))*60,0))+IF($M115=0,VALUE($L115),VALUE(LEFT($L115,$M115-1))+VALUE(MID($L115,$M115+1,10))/10^(LEN($L115)-$M115))),""))</f>
      </c>
      <c r="F115" t="str" s="30" cm="1">
        <f t="array" ref="F115">IF($E115="","",MAX(0,$I$7-$E115))</f>
      </c>
      <c r="G115" t="str" s="30" cm="1">
        <f t="array" ref="G115">IF($E115="","",$F115*$D$7)</f>
      </c>
      <c r="H115" t="str" s="30" cm="1">
        <f t="array" ref="H115">IF($E115="","",$T115+IF(AND($V$6&gt;=$D$8,COUNT($E$11:$E115)=$V$7+1),$D$8,0))</f>
      </c>
      <c r="I115" t="str" s="30" cm="1">
        <f t="array" ref="I115">IF($D115="","",IF(ISTEXT($D115),LEN($D115)-LEN(SUBSTITUTE($D115,":","")),-1))</f>
      </c>
      <c r="J115" s="29" cm="1">
        <f t="array" ref="J115">_xlfn.IFERROR(FIND(":",$D115),0)</f>
        <v>0</v>
      </c>
      <c r="K115" s="29" cm="1">
        <f t="array" ref="K115">_xlfn.IFERROR(FIND(":",$D115,$J115+1),0)</f>
        <v>0</v>
      </c>
      <c r="L115" t="str" s="30" cm="1">
        <f t="array" ref="L115">IF($D115="","",IF($I115=2,MID($D115,$K115+1,10),IF($I115=1,MID($D115,$J115+1,10),IF($I115=0,$D115,""))))</f>
      </c>
      <c r="M115" s="29" cm="1">
        <f t="array" ref="M115">IF($L115="",0,_xlfn.IFERROR(FIND(".",SUBSTITUTE($L115,",",".")),0))</f>
        <v>0</v>
      </c>
      <c r="N115" s="29" cm="1">
        <f t="array" ref="N115">IF($E115="",10^9,$E115)</f>
        <v>1000000000</v>
      </c>
      <c r="O115" t="str" s="30" cm="1">
        <f t="array" ref="O115">IF($E115="","",SUM($E$11:$E115))</f>
      </c>
      <c r="P115" t="str" s="30" cm="1">
        <f t="array" ref="P115">IF($E115="","",($D$6/$D$7+$O115)/COUNT($E$11:$E115))</f>
      </c>
      <c r="Q115" s="29" cm="1">
        <f t="array" ref="Q115">IF($E115="",0,IF(AND($E115&lt;$P115,OR($E116="",$P115&lt;=$E116)),1,0))</f>
        <v>0</v>
      </c>
      <c r="R115" s="27" cm="1">
        <f t="array" ref="R115">IF($V$4=0,"",ROUND($V$4,1)-10+(115-11)*0.1)</f>
        <v>2523.5</v>
      </c>
      <c r="S115" s="28">
        <v>21000</v>
      </c>
      <c r="T115" t="str" s="30" cm="1">
        <f t="array" ref="T115">IF($E115="","",ROUND($G115/$D$8,0)*$D$8)</f>
      </c>
      <c r="U115" s="14"/>
      <c r="V115" s="8"/>
    </row>
    <row r="116" ht="13.55" customHeight="1">
      <c r="A116" t="str" s="30" cm="1">
        <f t="array" ref="A116">IF($E116="","",COUNT($E$11:$E116))</f>
      </c>
      <c r="B116" s="39"/>
      <c r="C116" s="39"/>
      <c r="D116" s="39"/>
      <c r="E116" t="str" s="30" cm="1">
        <f t="array" ref="E116">IF($D116="","",_xlfn.IFERROR(IF($I116=-1,IF($D116&lt;0.5,$D116*86400,IF($D116&lt;100,$D116*1440,$D116)),IF($I116=2,VALUE(LEFT($D116,$J116-1))*3600+VALUE(MID($D116,$J116+1,$K116-$J116-1))*60,IF($I116=1,VALUE(LEFT($D116,$J116-1))*60,0))+IF($M116=0,VALUE($L116),VALUE(LEFT($L116,$M116-1))+VALUE(MID($L116,$M116+1,10))/10^(LEN($L116)-$M116))),""))</f>
      </c>
      <c r="F116" t="str" s="30" cm="1">
        <f t="array" ref="F116">IF($E116="","",MAX(0,$I$7-$E116))</f>
      </c>
      <c r="G116" t="str" s="30" cm="1">
        <f t="array" ref="G116">IF($E116="","",$F116*$D$7)</f>
      </c>
      <c r="H116" t="str" s="30" cm="1">
        <f t="array" ref="H116">IF($E116="","",$T116+IF(AND($V$6&gt;=$D$8,COUNT($E$11:$E116)=$V$7+1),$D$8,0))</f>
      </c>
      <c r="I116" t="str" s="30" cm="1">
        <f t="array" ref="I116">IF($D116="","",IF(ISTEXT($D116),LEN($D116)-LEN(SUBSTITUTE($D116,":","")),-1))</f>
      </c>
      <c r="J116" s="29" cm="1">
        <f t="array" ref="J116">_xlfn.IFERROR(FIND(":",$D116),0)</f>
        <v>0</v>
      </c>
      <c r="K116" s="29" cm="1">
        <f t="array" ref="K116">_xlfn.IFERROR(FIND(":",$D116,$J116+1),0)</f>
        <v>0</v>
      </c>
      <c r="L116" t="str" s="30" cm="1">
        <f t="array" ref="L116">IF($D116="","",IF($I116=2,MID($D116,$K116+1,10),IF($I116=1,MID($D116,$J116+1,10),IF($I116=0,$D116,""))))</f>
      </c>
      <c r="M116" s="29" cm="1">
        <f t="array" ref="M116">IF($L116="",0,_xlfn.IFERROR(FIND(".",SUBSTITUTE($L116,",",".")),0))</f>
        <v>0</v>
      </c>
      <c r="N116" s="29" cm="1">
        <f t="array" ref="N116">IF($E116="",10^9,$E116)</f>
        <v>1000000000</v>
      </c>
      <c r="O116" t="str" s="30" cm="1">
        <f t="array" ref="O116">IF($E116="","",SUM($E$11:$E116))</f>
      </c>
      <c r="P116" t="str" s="30" cm="1">
        <f t="array" ref="P116">IF($E116="","",($D$6/$D$7+$O116)/COUNT($E$11:$E116))</f>
      </c>
      <c r="Q116" s="29" cm="1">
        <f t="array" ref="Q116">IF($E116="",0,IF(AND($E116&lt;$P116,OR($E117="",$P116&lt;=$E117)),1,0))</f>
        <v>0</v>
      </c>
      <c r="R116" s="27" cm="1">
        <f t="array" ref="R116">IF($V$4=0,"",ROUND($V$4,1)-10+(116-11)*0.1)</f>
        <v>2523.6</v>
      </c>
      <c r="S116" s="28">
        <v>21000</v>
      </c>
      <c r="T116" t="str" s="30" cm="1">
        <f t="array" ref="T116">IF($E116="","",ROUND($G116/$D$8,0)*$D$8)</f>
      </c>
      <c r="U116" s="14"/>
      <c r="V116" s="8"/>
    </row>
    <row r="117" ht="13.55" customHeight="1">
      <c r="A117" t="str" s="30" cm="1">
        <f t="array" ref="A117">IF($E117="","",COUNT($E$11:$E117))</f>
      </c>
      <c r="B117" s="39"/>
      <c r="C117" s="39"/>
      <c r="D117" s="39"/>
      <c r="E117" t="str" s="30" cm="1">
        <f t="array" ref="E117">IF($D117="","",_xlfn.IFERROR(IF($I117=-1,IF($D117&lt;0.5,$D117*86400,IF($D117&lt;100,$D117*1440,$D117)),IF($I117=2,VALUE(LEFT($D117,$J117-1))*3600+VALUE(MID($D117,$J117+1,$K117-$J117-1))*60,IF($I117=1,VALUE(LEFT($D117,$J117-1))*60,0))+IF($M117=0,VALUE($L117),VALUE(LEFT($L117,$M117-1))+VALUE(MID($L117,$M117+1,10))/10^(LEN($L117)-$M117))),""))</f>
      </c>
      <c r="F117" t="str" s="30" cm="1">
        <f t="array" ref="F117">IF($E117="","",MAX(0,$I$7-$E117))</f>
      </c>
      <c r="G117" t="str" s="30" cm="1">
        <f t="array" ref="G117">IF($E117="","",$F117*$D$7)</f>
      </c>
      <c r="H117" t="str" s="30" cm="1">
        <f t="array" ref="H117">IF($E117="","",$T117+IF(AND($V$6&gt;=$D$8,COUNT($E$11:$E117)=$V$7+1),$D$8,0))</f>
      </c>
      <c r="I117" t="str" s="30" cm="1">
        <f t="array" ref="I117">IF($D117="","",IF(ISTEXT($D117),LEN($D117)-LEN(SUBSTITUTE($D117,":","")),-1))</f>
      </c>
      <c r="J117" s="29" cm="1">
        <f t="array" ref="J117">_xlfn.IFERROR(FIND(":",$D117),0)</f>
        <v>0</v>
      </c>
      <c r="K117" s="29" cm="1">
        <f t="array" ref="K117">_xlfn.IFERROR(FIND(":",$D117,$J117+1),0)</f>
        <v>0</v>
      </c>
      <c r="L117" t="str" s="30" cm="1">
        <f t="array" ref="L117">IF($D117="","",IF($I117=2,MID($D117,$K117+1,10),IF($I117=1,MID($D117,$J117+1,10),IF($I117=0,$D117,""))))</f>
      </c>
      <c r="M117" s="29" cm="1">
        <f t="array" ref="M117">IF($L117="",0,_xlfn.IFERROR(FIND(".",SUBSTITUTE($L117,",",".")),0))</f>
        <v>0</v>
      </c>
      <c r="N117" s="29" cm="1">
        <f t="array" ref="N117">IF($E117="",10^9,$E117)</f>
        <v>1000000000</v>
      </c>
      <c r="O117" t="str" s="30" cm="1">
        <f t="array" ref="O117">IF($E117="","",SUM($E$11:$E117))</f>
      </c>
      <c r="P117" t="str" s="30" cm="1">
        <f t="array" ref="P117">IF($E117="","",($D$6/$D$7+$O117)/COUNT($E$11:$E117))</f>
      </c>
      <c r="Q117" s="29" cm="1">
        <f t="array" ref="Q117">IF($E117="",0,IF(AND($E117&lt;$P117,OR($E118="",$P117&lt;=$E118)),1,0))</f>
        <v>0</v>
      </c>
      <c r="R117" s="27" cm="1">
        <f t="array" ref="R117">IF($V$4=0,"",ROUND($V$4,1)-10+(117-11)*0.1)</f>
        <v>2523.7</v>
      </c>
      <c r="S117" s="28">
        <v>21000</v>
      </c>
      <c r="T117" t="str" s="30" cm="1">
        <f t="array" ref="T117">IF($E117="","",ROUND($G117/$D$8,0)*$D$8)</f>
      </c>
      <c r="U117" s="14"/>
      <c r="V117" s="8"/>
    </row>
    <row r="118" ht="13.55" customHeight="1">
      <c r="A118" t="str" s="30" cm="1">
        <f t="array" ref="A118">IF($E118="","",COUNT($E$11:$E118))</f>
      </c>
      <c r="B118" s="39"/>
      <c r="C118" s="39"/>
      <c r="D118" s="39"/>
      <c r="E118" t="str" s="30" cm="1">
        <f t="array" ref="E118">IF($D118="","",_xlfn.IFERROR(IF($I118=-1,IF($D118&lt;0.5,$D118*86400,IF($D118&lt;100,$D118*1440,$D118)),IF($I118=2,VALUE(LEFT($D118,$J118-1))*3600+VALUE(MID($D118,$J118+1,$K118-$J118-1))*60,IF($I118=1,VALUE(LEFT($D118,$J118-1))*60,0))+IF($M118=0,VALUE($L118),VALUE(LEFT($L118,$M118-1))+VALUE(MID($L118,$M118+1,10))/10^(LEN($L118)-$M118))),""))</f>
      </c>
      <c r="F118" t="str" s="30" cm="1">
        <f t="array" ref="F118">IF($E118="","",MAX(0,$I$7-$E118))</f>
      </c>
      <c r="G118" t="str" s="30" cm="1">
        <f t="array" ref="G118">IF($E118="","",$F118*$D$7)</f>
      </c>
      <c r="H118" t="str" s="30" cm="1">
        <f t="array" ref="H118">IF($E118="","",$T118+IF(AND($V$6&gt;=$D$8,COUNT($E$11:$E118)=$V$7+1),$D$8,0))</f>
      </c>
      <c r="I118" t="str" s="30" cm="1">
        <f t="array" ref="I118">IF($D118="","",IF(ISTEXT($D118),LEN($D118)-LEN(SUBSTITUTE($D118,":","")),-1))</f>
      </c>
      <c r="J118" s="29" cm="1">
        <f t="array" ref="J118">_xlfn.IFERROR(FIND(":",$D118),0)</f>
        <v>0</v>
      </c>
      <c r="K118" s="29" cm="1">
        <f t="array" ref="K118">_xlfn.IFERROR(FIND(":",$D118,$J118+1),0)</f>
        <v>0</v>
      </c>
      <c r="L118" t="str" s="30" cm="1">
        <f t="array" ref="L118">IF($D118="","",IF($I118=2,MID($D118,$K118+1,10),IF($I118=1,MID($D118,$J118+1,10),IF($I118=0,$D118,""))))</f>
      </c>
      <c r="M118" s="29" cm="1">
        <f t="array" ref="M118">IF($L118="",0,_xlfn.IFERROR(FIND(".",SUBSTITUTE($L118,",",".")),0))</f>
        <v>0</v>
      </c>
      <c r="N118" s="29" cm="1">
        <f t="array" ref="N118">IF($E118="",10^9,$E118)</f>
        <v>1000000000</v>
      </c>
      <c r="O118" t="str" s="30" cm="1">
        <f t="array" ref="O118">IF($E118="","",SUM($E$11:$E118))</f>
      </c>
      <c r="P118" t="str" s="30" cm="1">
        <f t="array" ref="P118">IF($E118="","",($D$6/$D$7+$O118)/COUNT($E$11:$E118))</f>
      </c>
      <c r="Q118" s="29" cm="1">
        <f t="array" ref="Q118">IF($E118="",0,IF(AND($E118&lt;$P118,OR($E119="",$P118&lt;=$E119)),1,0))</f>
        <v>0</v>
      </c>
      <c r="R118" s="27" cm="1">
        <f t="array" ref="R118">IF($V$4=0,"",ROUND($V$4,1)-10+(118-11)*0.1)</f>
        <v>2523.8</v>
      </c>
      <c r="S118" s="28">
        <v>21000</v>
      </c>
      <c r="T118" t="str" s="30" cm="1">
        <f t="array" ref="T118">IF($E118="","",ROUND($G118/$D$8,0)*$D$8)</f>
      </c>
      <c r="U118" s="14"/>
      <c r="V118" s="8"/>
    </row>
    <row r="119" ht="13.55" customHeight="1">
      <c r="A119" t="str" s="30" cm="1">
        <f t="array" ref="A119">IF($E119="","",COUNT($E$11:$E119))</f>
      </c>
      <c r="B119" s="39"/>
      <c r="C119" s="39"/>
      <c r="D119" s="39"/>
      <c r="E119" t="str" s="30" cm="1">
        <f t="array" ref="E119">IF($D119="","",_xlfn.IFERROR(IF($I119=-1,IF($D119&lt;0.5,$D119*86400,IF($D119&lt;100,$D119*1440,$D119)),IF($I119=2,VALUE(LEFT($D119,$J119-1))*3600+VALUE(MID($D119,$J119+1,$K119-$J119-1))*60,IF($I119=1,VALUE(LEFT($D119,$J119-1))*60,0))+IF($M119=0,VALUE($L119),VALUE(LEFT($L119,$M119-1))+VALUE(MID($L119,$M119+1,10))/10^(LEN($L119)-$M119))),""))</f>
      </c>
      <c r="F119" t="str" s="30" cm="1">
        <f t="array" ref="F119">IF($E119="","",MAX(0,$I$7-$E119))</f>
      </c>
      <c r="G119" t="str" s="30" cm="1">
        <f t="array" ref="G119">IF($E119="","",$F119*$D$7)</f>
      </c>
      <c r="H119" t="str" s="30" cm="1">
        <f t="array" ref="H119">IF($E119="","",$T119+IF(AND($V$6&gt;=$D$8,COUNT($E$11:$E119)=$V$7+1),$D$8,0))</f>
      </c>
      <c r="I119" t="str" s="30" cm="1">
        <f t="array" ref="I119">IF($D119="","",IF(ISTEXT($D119),LEN($D119)-LEN(SUBSTITUTE($D119,":","")),-1))</f>
      </c>
      <c r="J119" s="29" cm="1">
        <f t="array" ref="J119">_xlfn.IFERROR(FIND(":",$D119),0)</f>
        <v>0</v>
      </c>
      <c r="K119" s="29" cm="1">
        <f t="array" ref="K119">_xlfn.IFERROR(FIND(":",$D119,$J119+1),0)</f>
        <v>0</v>
      </c>
      <c r="L119" t="str" s="30" cm="1">
        <f t="array" ref="L119">IF($D119="","",IF($I119=2,MID($D119,$K119+1,10),IF($I119=1,MID($D119,$J119+1,10),IF($I119=0,$D119,""))))</f>
      </c>
      <c r="M119" s="29" cm="1">
        <f t="array" ref="M119">IF($L119="",0,_xlfn.IFERROR(FIND(".",SUBSTITUTE($L119,",",".")),0))</f>
        <v>0</v>
      </c>
      <c r="N119" s="29" cm="1">
        <f t="array" ref="N119">IF($E119="",10^9,$E119)</f>
        <v>1000000000</v>
      </c>
      <c r="O119" t="str" s="30" cm="1">
        <f t="array" ref="O119">IF($E119="","",SUM($E$11:$E119))</f>
      </c>
      <c r="P119" t="str" s="30" cm="1">
        <f t="array" ref="P119">IF($E119="","",($D$6/$D$7+$O119)/COUNT($E$11:$E119))</f>
      </c>
      <c r="Q119" s="29" cm="1">
        <f t="array" ref="Q119">IF($E119="",0,IF(AND($E119&lt;$P119,OR($E120="",$P119&lt;=$E120)),1,0))</f>
        <v>0</v>
      </c>
      <c r="R119" s="27" cm="1">
        <f t="array" ref="R119">IF($V$4=0,"",ROUND($V$4,1)-10+(119-11)*0.1)</f>
        <v>2523.9</v>
      </c>
      <c r="S119" s="28">
        <v>21000</v>
      </c>
      <c r="T119" t="str" s="30" cm="1">
        <f t="array" ref="T119">IF($E119="","",ROUND($G119/$D$8,0)*$D$8)</f>
      </c>
      <c r="U119" s="14"/>
      <c r="V119" s="8"/>
    </row>
    <row r="120" ht="13.55" customHeight="1">
      <c r="A120" t="str" s="30" cm="1">
        <f t="array" ref="A120">IF($E120="","",COUNT($E$11:$E120))</f>
      </c>
      <c r="B120" s="39"/>
      <c r="C120" s="39"/>
      <c r="D120" s="39"/>
      <c r="E120" t="str" s="30" cm="1">
        <f t="array" ref="E120">IF($D120="","",_xlfn.IFERROR(IF($I120=-1,IF($D120&lt;0.5,$D120*86400,IF($D120&lt;100,$D120*1440,$D120)),IF($I120=2,VALUE(LEFT($D120,$J120-1))*3600+VALUE(MID($D120,$J120+1,$K120-$J120-1))*60,IF($I120=1,VALUE(LEFT($D120,$J120-1))*60,0))+IF($M120=0,VALUE($L120),VALUE(LEFT($L120,$M120-1))+VALUE(MID($L120,$M120+1,10))/10^(LEN($L120)-$M120))),""))</f>
      </c>
      <c r="F120" t="str" s="30" cm="1">
        <f t="array" ref="F120">IF($E120="","",MAX(0,$I$7-$E120))</f>
      </c>
      <c r="G120" t="str" s="30" cm="1">
        <f t="array" ref="G120">IF($E120="","",$F120*$D$7)</f>
      </c>
      <c r="H120" t="str" s="30" cm="1">
        <f t="array" ref="H120">IF($E120="","",$T120+IF(AND($V$6&gt;=$D$8,COUNT($E$11:$E120)=$V$7+1),$D$8,0))</f>
      </c>
      <c r="I120" t="str" s="30" cm="1">
        <f t="array" ref="I120">IF($D120="","",IF(ISTEXT($D120),LEN($D120)-LEN(SUBSTITUTE($D120,":","")),-1))</f>
      </c>
      <c r="J120" s="29" cm="1">
        <f t="array" ref="J120">_xlfn.IFERROR(FIND(":",$D120),0)</f>
        <v>0</v>
      </c>
      <c r="K120" s="29" cm="1">
        <f t="array" ref="K120">_xlfn.IFERROR(FIND(":",$D120,$J120+1),0)</f>
        <v>0</v>
      </c>
      <c r="L120" t="str" s="30" cm="1">
        <f t="array" ref="L120">IF($D120="","",IF($I120=2,MID($D120,$K120+1,10),IF($I120=1,MID($D120,$J120+1,10),IF($I120=0,$D120,""))))</f>
      </c>
      <c r="M120" s="29" cm="1">
        <f t="array" ref="M120">IF($L120="",0,_xlfn.IFERROR(FIND(".",SUBSTITUTE($L120,",",".")),0))</f>
        <v>0</v>
      </c>
      <c r="N120" s="29" cm="1">
        <f t="array" ref="N120">IF($E120="",10^9,$E120)</f>
        <v>1000000000</v>
      </c>
      <c r="O120" t="str" s="30" cm="1">
        <f t="array" ref="O120">IF($E120="","",SUM($E$11:$E120))</f>
      </c>
      <c r="P120" t="str" s="30" cm="1">
        <f t="array" ref="P120">IF($E120="","",($D$6/$D$7+$O120)/COUNT($E$11:$E120))</f>
      </c>
      <c r="Q120" s="29" cm="1">
        <f t="array" ref="Q120">IF($E120="",0,IF(AND($E120&lt;$P120,OR($E121="",$P120&lt;=$E121)),1,0))</f>
        <v>0</v>
      </c>
      <c r="R120" s="27" cm="1">
        <f t="array" ref="R120">IF($V$4=0,"",ROUND($V$4,1)-10+(120-11)*0.1)</f>
        <v>2524</v>
      </c>
      <c r="S120" s="28">
        <v>21000</v>
      </c>
      <c r="T120" t="str" s="30" cm="1">
        <f t="array" ref="T120">IF($E120="","",ROUND($G120/$D$8,0)*$D$8)</f>
      </c>
      <c r="U120" s="14"/>
      <c r="V120" s="8"/>
    </row>
    <row r="121" ht="13.55" customHeight="1">
      <c r="A121" t="str" s="30" cm="1">
        <f t="array" ref="A121">IF($E121="","",COUNT($E$11:$E121))</f>
      </c>
      <c r="B121" s="39"/>
      <c r="C121" s="39"/>
      <c r="D121" s="39"/>
      <c r="E121" t="str" s="30" cm="1">
        <f t="array" ref="E121">IF($D121="","",_xlfn.IFERROR(IF($I121=-1,IF($D121&lt;0.5,$D121*86400,IF($D121&lt;100,$D121*1440,$D121)),IF($I121=2,VALUE(LEFT($D121,$J121-1))*3600+VALUE(MID($D121,$J121+1,$K121-$J121-1))*60,IF($I121=1,VALUE(LEFT($D121,$J121-1))*60,0))+IF($M121=0,VALUE($L121),VALUE(LEFT($L121,$M121-1))+VALUE(MID($L121,$M121+1,10))/10^(LEN($L121)-$M121))),""))</f>
      </c>
      <c r="F121" t="str" s="30" cm="1">
        <f t="array" ref="F121">IF($E121="","",MAX(0,$I$7-$E121))</f>
      </c>
      <c r="G121" t="str" s="30" cm="1">
        <f t="array" ref="G121">IF($E121="","",$F121*$D$7)</f>
      </c>
      <c r="H121" t="str" s="30" cm="1">
        <f t="array" ref="H121">IF($E121="","",$T121+IF(AND($V$6&gt;=$D$8,COUNT($E$11:$E121)=$V$7+1),$D$8,0))</f>
      </c>
      <c r="I121" t="str" s="30" cm="1">
        <f t="array" ref="I121">IF($D121="","",IF(ISTEXT($D121),LEN($D121)-LEN(SUBSTITUTE($D121,":","")),-1))</f>
      </c>
      <c r="J121" s="29" cm="1">
        <f t="array" ref="J121">_xlfn.IFERROR(FIND(":",$D121),0)</f>
        <v>0</v>
      </c>
      <c r="K121" s="29" cm="1">
        <f t="array" ref="K121">_xlfn.IFERROR(FIND(":",$D121,$J121+1),0)</f>
        <v>0</v>
      </c>
      <c r="L121" t="str" s="30" cm="1">
        <f t="array" ref="L121">IF($D121="","",IF($I121=2,MID($D121,$K121+1,10),IF($I121=1,MID($D121,$J121+1,10),IF($I121=0,$D121,""))))</f>
      </c>
      <c r="M121" s="29" cm="1">
        <f t="array" ref="M121">IF($L121="",0,_xlfn.IFERROR(FIND(".",SUBSTITUTE($L121,",",".")),0))</f>
        <v>0</v>
      </c>
      <c r="N121" s="29" cm="1">
        <f t="array" ref="N121">IF($E121="",10^9,$E121)</f>
        <v>1000000000</v>
      </c>
      <c r="O121" t="str" s="30" cm="1">
        <f t="array" ref="O121">IF($E121="","",SUM($E$11:$E121))</f>
      </c>
      <c r="P121" t="str" s="30" cm="1">
        <f t="array" ref="P121">IF($E121="","",($D$6/$D$7+$O121)/COUNT($E$11:$E121))</f>
      </c>
      <c r="Q121" s="29" cm="1">
        <f t="array" ref="Q121">IF($E121="",0,IF(AND($E121&lt;$P121,OR($E122="",$P121&lt;=$E122)),1,0))</f>
        <v>0</v>
      </c>
      <c r="R121" s="27" cm="1">
        <f t="array" ref="R121">IF($V$4=0,"",ROUND($V$4,1)-10+(121-11)*0.1)</f>
        <v>2524.1</v>
      </c>
      <c r="S121" s="28">
        <v>21000</v>
      </c>
      <c r="T121" t="str" s="30" cm="1">
        <f t="array" ref="T121">IF($E121="","",ROUND($G121/$D$8,0)*$D$8)</f>
      </c>
      <c r="U121" s="14"/>
      <c r="V121" s="8"/>
    </row>
    <row r="122" ht="13.55" customHeight="1">
      <c r="A122" t="str" s="30" cm="1">
        <f t="array" ref="A122">IF($E122="","",COUNT($E$11:$E122))</f>
      </c>
      <c r="B122" s="39"/>
      <c r="C122" s="39"/>
      <c r="D122" s="39"/>
      <c r="E122" t="str" s="30" cm="1">
        <f t="array" ref="E122">IF($D122="","",_xlfn.IFERROR(IF($I122=-1,IF($D122&lt;0.5,$D122*86400,IF($D122&lt;100,$D122*1440,$D122)),IF($I122=2,VALUE(LEFT($D122,$J122-1))*3600+VALUE(MID($D122,$J122+1,$K122-$J122-1))*60,IF($I122=1,VALUE(LEFT($D122,$J122-1))*60,0))+IF($M122=0,VALUE($L122),VALUE(LEFT($L122,$M122-1))+VALUE(MID($L122,$M122+1,10))/10^(LEN($L122)-$M122))),""))</f>
      </c>
      <c r="F122" t="str" s="30" cm="1">
        <f t="array" ref="F122">IF($E122="","",MAX(0,$I$7-$E122))</f>
      </c>
      <c r="G122" t="str" s="30" cm="1">
        <f t="array" ref="G122">IF($E122="","",$F122*$D$7)</f>
      </c>
      <c r="H122" t="str" s="30" cm="1">
        <f t="array" ref="H122">IF($E122="","",$T122+IF(AND($V$6&gt;=$D$8,COUNT($E$11:$E122)=$V$7+1),$D$8,0))</f>
      </c>
      <c r="I122" t="str" s="30" cm="1">
        <f t="array" ref="I122">IF($D122="","",IF(ISTEXT($D122),LEN($D122)-LEN(SUBSTITUTE($D122,":","")),-1))</f>
      </c>
      <c r="J122" s="29" cm="1">
        <f t="array" ref="J122">_xlfn.IFERROR(FIND(":",$D122),0)</f>
        <v>0</v>
      </c>
      <c r="K122" s="29" cm="1">
        <f t="array" ref="K122">_xlfn.IFERROR(FIND(":",$D122,$J122+1),0)</f>
        <v>0</v>
      </c>
      <c r="L122" t="str" s="30" cm="1">
        <f t="array" ref="L122">IF($D122="","",IF($I122=2,MID($D122,$K122+1,10),IF($I122=1,MID($D122,$J122+1,10),IF($I122=0,$D122,""))))</f>
      </c>
      <c r="M122" s="29" cm="1">
        <f t="array" ref="M122">IF($L122="",0,_xlfn.IFERROR(FIND(".",SUBSTITUTE($L122,",",".")),0))</f>
        <v>0</v>
      </c>
      <c r="N122" s="29" cm="1">
        <f t="array" ref="N122">IF($E122="",10^9,$E122)</f>
        <v>1000000000</v>
      </c>
      <c r="O122" t="str" s="30" cm="1">
        <f t="array" ref="O122">IF($E122="","",SUM($E$11:$E122))</f>
      </c>
      <c r="P122" t="str" s="30" cm="1">
        <f t="array" ref="P122">IF($E122="","",($D$6/$D$7+$O122)/COUNT($E$11:$E122))</f>
      </c>
      <c r="Q122" s="29" cm="1">
        <f t="array" ref="Q122">IF($E122="",0,IF(AND($E122&lt;$P122,OR($E123="",$P122&lt;=$E123)),1,0))</f>
        <v>0</v>
      </c>
      <c r="R122" s="27" cm="1">
        <f t="array" ref="R122">IF($V$4=0,"",ROUND($V$4,1)-10+(122-11)*0.1)</f>
        <v>2524.2</v>
      </c>
      <c r="S122" s="28">
        <v>21000</v>
      </c>
      <c r="T122" t="str" s="30" cm="1">
        <f t="array" ref="T122">IF($E122="","",ROUND($G122/$D$8,0)*$D$8)</f>
      </c>
      <c r="U122" s="14"/>
      <c r="V122" s="8"/>
    </row>
    <row r="123" ht="13.55" customHeight="1">
      <c r="A123" t="str" s="30" cm="1">
        <f t="array" ref="A123">IF($E123="","",COUNT($E$11:$E123))</f>
      </c>
      <c r="B123" s="39"/>
      <c r="C123" s="39"/>
      <c r="D123" s="39"/>
      <c r="E123" t="str" s="30" cm="1">
        <f t="array" ref="E123">IF($D123="","",_xlfn.IFERROR(IF($I123=-1,IF($D123&lt;0.5,$D123*86400,IF($D123&lt;100,$D123*1440,$D123)),IF($I123=2,VALUE(LEFT($D123,$J123-1))*3600+VALUE(MID($D123,$J123+1,$K123-$J123-1))*60,IF($I123=1,VALUE(LEFT($D123,$J123-1))*60,0))+IF($M123=0,VALUE($L123),VALUE(LEFT($L123,$M123-1))+VALUE(MID($L123,$M123+1,10))/10^(LEN($L123)-$M123))),""))</f>
      </c>
      <c r="F123" t="str" s="30" cm="1">
        <f t="array" ref="F123">IF($E123="","",MAX(0,$I$7-$E123))</f>
      </c>
      <c r="G123" t="str" s="30" cm="1">
        <f t="array" ref="G123">IF($E123="","",$F123*$D$7)</f>
      </c>
      <c r="H123" t="str" s="30" cm="1">
        <f t="array" ref="H123">IF($E123="","",$T123+IF(AND($V$6&gt;=$D$8,COUNT($E$11:$E123)=$V$7+1),$D$8,0))</f>
      </c>
      <c r="I123" t="str" s="30" cm="1">
        <f t="array" ref="I123">IF($D123="","",IF(ISTEXT($D123),LEN($D123)-LEN(SUBSTITUTE($D123,":","")),-1))</f>
      </c>
      <c r="J123" s="29" cm="1">
        <f t="array" ref="J123">_xlfn.IFERROR(FIND(":",$D123),0)</f>
        <v>0</v>
      </c>
      <c r="K123" s="29" cm="1">
        <f t="array" ref="K123">_xlfn.IFERROR(FIND(":",$D123,$J123+1),0)</f>
        <v>0</v>
      </c>
      <c r="L123" t="str" s="30" cm="1">
        <f t="array" ref="L123">IF($D123="","",IF($I123=2,MID($D123,$K123+1,10),IF($I123=1,MID($D123,$J123+1,10),IF($I123=0,$D123,""))))</f>
      </c>
      <c r="M123" s="29" cm="1">
        <f t="array" ref="M123">IF($L123="",0,_xlfn.IFERROR(FIND(".",SUBSTITUTE($L123,",",".")),0))</f>
        <v>0</v>
      </c>
      <c r="N123" s="29" cm="1">
        <f t="array" ref="N123">IF($E123="",10^9,$E123)</f>
        <v>1000000000</v>
      </c>
      <c r="O123" t="str" s="30" cm="1">
        <f t="array" ref="O123">IF($E123="","",SUM($E$11:$E123))</f>
      </c>
      <c r="P123" t="str" s="30" cm="1">
        <f t="array" ref="P123">IF($E123="","",($D$6/$D$7+$O123)/COUNT($E$11:$E123))</f>
      </c>
      <c r="Q123" s="29" cm="1">
        <f t="array" ref="Q123">IF($E123="",0,IF(AND($E123&lt;$P123,OR($E124="",$P123&lt;=$E124)),1,0))</f>
        <v>0</v>
      </c>
      <c r="R123" s="27" cm="1">
        <f t="array" ref="R123">IF($V$4=0,"",ROUND($V$4,1)-10+(123-11)*0.1)</f>
        <v>2524.3</v>
      </c>
      <c r="S123" s="28">
        <v>21000</v>
      </c>
      <c r="T123" t="str" s="30" cm="1">
        <f t="array" ref="T123">IF($E123="","",ROUND($G123/$D$8,0)*$D$8)</f>
      </c>
      <c r="U123" s="14"/>
      <c r="V123" s="8"/>
    </row>
    <row r="124" ht="13.55" customHeight="1">
      <c r="A124" t="str" s="30" cm="1">
        <f t="array" ref="A124">IF($E124="","",COUNT($E$11:$E124))</f>
      </c>
      <c r="B124" s="39"/>
      <c r="C124" s="39"/>
      <c r="D124" s="39"/>
      <c r="E124" t="str" s="30" cm="1">
        <f t="array" ref="E124">IF($D124="","",_xlfn.IFERROR(IF($I124=-1,IF($D124&lt;0.5,$D124*86400,IF($D124&lt;100,$D124*1440,$D124)),IF($I124=2,VALUE(LEFT($D124,$J124-1))*3600+VALUE(MID($D124,$J124+1,$K124-$J124-1))*60,IF($I124=1,VALUE(LEFT($D124,$J124-1))*60,0))+IF($M124=0,VALUE($L124),VALUE(LEFT($L124,$M124-1))+VALUE(MID($L124,$M124+1,10))/10^(LEN($L124)-$M124))),""))</f>
      </c>
      <c r="F124" t="str" s="30" cm="1">
        <f t="array" ref="F124">IF($E124="","",MAX(0,$I$7-$E124))</f>
      </c>
      <c r="G124" t="str" s="30" cm="1">
        <f t="array" ref="G124">IF($E124="","",$F124*$D$7)</f>
      </c>
      <c r="H124" t="str" s="30" cm="1">
        <f t="array" ref="H124">IF($E124="","",$T124+IF(AND($V$6&gt;=$D$8,COUNT($E$11:$E124)=$V$7+1),$D$8,0))</f>
      </c>
      <c r="I124" t="str" s="30" cm="1">
        <f t="array" ref="I124">IF($D124="","",IF(ISTEXT($D124),LEN($D124)-LEN(SUBSTITUTE($D124,":","")),-1))</f>
      </c>
      <c r="J124" s="29" cm="1">
        <f t="array" ref="J124">_xlfn.IFERROR(FIND(":",$D124),0)</f>
        <v>0</v>
      </c>
      <c r="K124" s="29" cm="1">
        <f t="array" ref="K124">_xlfn.IFERROR(FIND(":",$D124,$J124+1),0)</f>
        <v>0</v>
      </c>
      <c r="L124" t="str" s="30" cm="1">
        <f t="array" ref="L124">IF($D124="","",IF($I124=2,MID($D124,$K124+1,10),IF($I124=1,MID($D124,$J124+1,10),IF($I124=0,$D124,""))))</f>
      </c>
      <c r="M124" s="29" cm="1">
        <f t="array" ref="M124">IF($L124="",0,_xlfn.IFERROR(FIND(".",SUBSTITUTE($L124,",",".")),0))</f>
        <v>0</v>
      </c>
      <c r="N124" s="29" cm="1">
        <f t="array" ref="N124">IF($E124="",10^9,$E124)</f>
        <v>1000000000</v>
      </c>
      <c r="O124" t="str" s="30" cm="1">
        <f t="array" ref="O124">IF($E124="","",SUM($E$11:$E124))</f>
      </c>
      <c r="P124" t="str" s="30" cm="1">
        <f t="array" ref="P124">IF($E124="","",($D$6/$D$7+$O124)/COUNT($E$11:$E124))</f>
      </c>
      <c r="Q124" s="29" cm="1">
        <f t="array" ref="Q124">IF($E124="",0,IF(AND($E124&lt;$P124,OR($E125="",$P124&lt;=$E125)),1,0))</f>
        <v>0</v>
      </c>
      <c r="R124" s="27" cm="1">
        <f t="array" ref="R124">IF($V$4=0,"",ROUND($V$4,1)-10+(124-11)*0.1)</f>
        <v>2524.4</v>
      </c>
      <c r="S124" s="28">
        <v>21000</v>
      </c>
      <c r="T124" t="str" s="30" cm="1">
        <f t="array" ref="T124">IF($E124="","",ROUND($G124/$D$8,0)*$D$8)</f>
      </c>
      <c r="U124" s="14"/>
      <c r="V124" s="8"/>
    </row>
    <row r="125" ht="13.55" customHeight="1">
      <c r="A125" t="str" s="30" cm="1">
        <f t="array" ref="A125">IF($E125="","",COUNT($E$11:$E125))</f>
      </c>
      <c r="B125" s="39"/>
      <c r="C125" s="39"/>
      <c r="D125" s="39"/>
      <c r="E125" t="str" s="30" cm="1">
        <f t="array" ref="E125">IF($D125="","",_xlfn.IFERROR(IF($I125=-1,IF($D125&lt;0.5,$D125*86400,IF($D125&lt;100,$D125*1440,$D125)),IF($I125=2,VALUE(LEFT($D125,$J125-1))*3600+VALUE(MID($D125,$J125+1,$K125-$J125-1))*60,IF($I125=1,VALUE(LEFT($D125,$J125-1))*60,0))+IF($M125=0,VALUE($L125),VALUE(LEFT($L125,$M125-1))+VALUE(MID($L125,$M125+1,10))/10^(LEN($L125)-$M125))),""))</f>
      </c>
      <c r="F125" t="str" s="30" cm="1">
        <f t="array" ref="F125">IF($E125="","",MAX(0,$I$7-$E125))</f>
      </c>
      <c r="G125" t="str" s="30" cm="1">
        <f t="array" ref="G125">IF($E125="","",$F125*$D$7)</f>
      </c>
      <c r="H125" t="str" s="30" cm="1">
        <f t="array" ref="H125">IF($E125="","",$T125+IF(AND($V$6&gt;=$D$8,COUNT($E$11:$E125)=$V$7+1),$D$8,0))</f>
      </c>
      <c r="I125" t="str" s="30" cm="1">
        <f t="array" ref="I125">IF($D125="","",IF(ISTEXT($D125),LEN($D125)-LEN(SUBSTITUTE($D125,":","")),-1))</f>
      </c>
      <c r="J125" s="29" cm="1">
        <f t="array" ref="J125">_xlfn.IFERROR(FIND(":",$D125),0)</f>
        <v>0</v>
      </c>
      <c r="K125" s="29" cm="1">
        <f t="array" ref="K125">_xlfn.IFERROR(FIND(":",$D125,$J125+1),0)</f>
        <v>0</v>
      </c>
      <c r="L125" t="str" s="30" cm="1">
        <f t="array" ref="L125">IF($D125="","",IF($I125=2,MID($D125,$K125+1,10),IF($I125=1,MID($D125,$J125+1,10),IF($I125=0,$D125,""))))</f>
      </c>
      <c r="M125" s="29" cm="1">
        <f t="array" ref="M125">IF($L125="",0,_xlfn.IFERROR(FIND(".",SUBSTITUTE($L125,",",".")),0))</f>
        <v>0</v>
      </c>
      <c r="N125" s="29" cm="1">
        <f t="array" ref="N125">IF($E125="",10^9,$E125)</f>
        <v>1000000000</v>
      </c>
      <c r="O125" t="str" s="30" cm="1">
        <f t="array" ref="O125">IF($E125="","",SUM($E$11:$E125))</f>
      </c>
      <c r="P125" t="str" s="30" cm="1">
        <f t="array" ref="P125">IF($E125="","",($D$6/$D$7+$O125)/COUNT($E$11:$E125))</f>
      </c>
      <c r="Q125" s="29" cm="1">
        <f t="array" ref="Q125">IF($E125="",0,IF(AND($E125&lt;$P125,OR($E126="",$P125&lt;=$E126)),1,0))</f>
        <v>0</v>
      </c>
      <c r="R125" s="27" cm="1">
        <f t="array" ref="R125">IF($V$4=0,"",ROUND($V$4,1)-10+(125-11)*0.1)</f>
        <v>2524.5</v>
      </c>
      <c r="S125" s="28">
        <v>21000</v>
      </c>
      <c r="T125" t="str" s="30" cm="1">
        <f t="array" ref="T125">IF($E125="","",ROUND($G125/$D$8,0)*$D$8)</f>
      </c>
      <c r="U125" s="14"/>
      <c r="V125" s="8"/>
    </row>
    <row r="126" ht="13.55" customHeight="1">
      <c r="A126" t="str" s="30" cm="1">
        <f t="array" ref="A126">IF($E126="","",COUNT($E$11:$E126))</f>
      </c>
      <c r="B126" s="39"/>
      <c r="C126" s="39"/>
      <c r="D126" s="39"/>
      <c r="E126" t="str" s="30" cm="1">
        <f t="array" ref="E126">IF($D126="","",_xlfn.IFERROR(IF($I126=-1,IF($D126&lt;0.5,$D126*86400,IF($D126&lt;100,$D126*1440,$D126)),IF($I126=2,VALUE(LEFT($D126,$J126-1))*3600+VALUE(MID($D126,$J126+1,$K126-$J126-1))*60,IF($I126=1,VALUE(LEFT($D126,$J126-1))*60,0))+IF($M126=0,VALUE($L126),VALUE(LEFT($L126,$M126-1))+VALUE(MID($L126,$M126+1,10))/10^(LEN($L126)-$M126))),""))</f>
      </c>
      <c r="F126" t="str" s="30" cm="1">
        <f t="array" ref="F126">IF($E126="","",MAX(0,$I$7-$E126))</f>
      </c>
      <c r="G126" t="str" s="30" cm="1">
        <f t="array" ref="G126">IF($E126="","",$F126*$D$7)</f>
      </c>
      <c r="H126" t="str" s="30" cm="1">
        <f t="array" ref="H126">IF($E126="","",$T126+IF(AND($V$6&gt;=$D$8,COUNT($E$11:$E126)=$V$7+1),$D$8,0))</f>
      </c>
      <c r="I126" t="str" s="30" cm="1">
        <f t="array" ref="I126">IF($D126="","",IF(ISTEXT($D126),LEN($D126)-LEN(SUBSTITUTE($D126,":","")),-1))</f>
      </c>
      <c r="J126" s="29" cm="1">
        <f t="array" ref="J126">_xlfn.IFERROR(FIND(":",$D126),0)</f>
        <v>0</v>
      </c>
      <c r="K126" s="29" cm="1">
        <f t="array" ref="K126">_xlfn.IFERROR(FIND(":",$D126,$J126+1),0)</f>
        <v>0</v>
      </c>
      <c r="L126" t="str" s="30" cm="1">
        <f t="array" ref="L126">IF($D126="","",IF($I126=2,MID($D126,$K126+1,10),IF($I126=1,MID($D126,$J126+1,10),IF($I126=0,$D126,""))))</f>
      </c>
      <c r="M126" s="29" cm="1">
        <f t="array" ref="M126">IF($L126="",0,_xlfn.IFERROR(FIND(".",SUBSTITUTE($L126,",",".")),0))</f>
        <v>0</v>
      </c>
      <c r="N126" s="29" cm="1">
        <f t="array" ref="N126">IF($E126="",10^9,$E126)</f>
        <v>1000000000</v>
      </c>
      <c r="O126" t="str" s="30" cm="1">
        <f t="array" ref="O126">IF($E126="","",SUM($E$11:$E126))</f>
      </c>
      <c r="P126" t="str" s="30" cm="1">
        <f t="array" ref="P126">IF($E126="","",($D$6/$D$7+$O126)/COUNT($E$11:$E126))</f>
      </c>
      <c r="Q126" s="29" cm="1">
        <f t="array" ref="Q126">IF($E126="",0,IF(AND($E126&lt;$P126,OR($E127="",$P126&lt;=$E127)),1,0))</f>
        <v>0</v>
      </c>
      <c r="R126" s="27" cm="1">
        <f t="array" ref="R126">IF($V$4=0,"",ROUND($V$4,1)-10+(126-11)*0.1)</f>
        <v>2524.6</v>
      </c>
      <c r="S126" s="28">
        <v>22000</v>
      </c>
      <c r="T126" t="str" s="30" cm="1">
        <f t="array" ref="T126">IF($E126="","",ROUND($G126/$D$8,0)*$D$8)</f>
      </c>
      <c r="U126" s="14"/>
      <c r="V126" s="8"/>
    </row>
    <row r="127" ht="13.55" customHeight="1">
      <c r="A127" t="str" s="30" cm="1">
        <f t="array" ref="A127">IF($E127="","",COUNT($E$11:$E127))</f>
      </c>
      <c r="B127" s="39"/>
      <c r="C127" s="39"/>
      <c r="D127" s="39"/>
      <c r="E127" t="str" s="30" cm="1">
        <f t="array" ref="E127">IF($D127="","",_xlfn.IFERROR(IF($I127=-1,IF($D127&lt;0.5,$D127*86400,IF($D127&lt;100,$D127*1440,$D127)),IF($I127=2,VALUE(LEFT($D127,$J127-1))*3600+VALUE(MID($D127,$J127+1,$K127-$J127-1))*60,IF($I127=1,VALUE(LEFT($D127,$J127-1))*60,0))+IF($M127=0,VALUE($L127),VALUE(LEFT($L127,$M127-1))+VALUE(MID($L127,$M127+1,10))/10^(LEN($L127)-$M127))),""))</f>
      </c>
      <c r="F127" t="str" s="30" cm="1">
        <f t="array" ref="F127">IF($E127="","",MAX(0,$I$7-$E127))</f>
      </c>
      <c r="G127" t="str" s="30" cm="1">
        <f t="array" ref="G127">IF($E127="","",$F127*$D$7)</f>
      </c>
      <c r="H127" t="str" s="30" cm="1">
        <f t="array" ref="H127">IF($E127="","",$T127+IF(AND($V$6&gt;=$D$8,COUNT($E$11:$E127)=$V$7+1),$D$8,0))</f>
      </c>
      <c r="I127" t="str" s="30" cm="1">
        <f t="array" ref="I127">IF($D127="","",IF(ISTEXT($D127),LEN($D127)-LEN(SUBSTITUTE($D127,":","")),-1))</f>
      </c>
      <c r="J127" s="29" cm="1">
        <f t="array" ref="J127">_xlfn.IFERROR(FIND(":",$D127),0)</f>
        <v>0</v>
      </c>
      <c r="K127" s="29" cm="1">
        <f t="array" ref="K127">_xlfn.IFERROR(FIND(":",$D127,$J127+1),0)</f>
        <v>0</v>
      </c>
      <c r="L127" t="str" s="30" cm="1">
        <f t="array" ref="L127">IF($D127="","",IF($I127=2,MID($D127,$K127+1,10),IF($I127=1,MID($D127,$J127+1,10),IF($I127=0,$D127,""))))</f>
      </c>
      <c r="M127" s="29" cm="1">
        <f t="array" ref="M127">IF($L127="",0,_xlfn.IFERROR(FIND(".",SUBSTITUTE($L127,",",".")),0))</f>
        <v>0</v>
      </c>
      <c r="N127" s="29" cm="1">
        <f t="array" ref="N127">IF($E127="",10^9,$E127)</f>
        <v>1000000000</v>
      </c>
      <c r="O127" t="str" s="30" cm="1">
        <f t="array" ref="O127">IF($E127="","",SUM($E$11:$E127))</f>
      </c>
      <c r="P127" t="str" s="30" cm="1">
        <f t="array" ref="P127">IF($E127="","",($D$6/$D$7+$O127)/COUNT($E$11:$E127))</f>
      </c>
      <c r="Q127" s="29" cm="1">
        <f t="array" ref="Q127">IF($E127="",0,IF(AND($E127&lt;$P127,OR($E128="",$P127&lt;=$E128)),1,0))</f>
        <v>0</v>
      </c>
      <c r="R127" s="27" cm="1">
        <f t="array" ref="R127">IF($V$4=0,"",ROUND($V$4,1)-10+(127-11)*0.1)</f>
        <v>2524.7</v>
      </c>
      <c r="S127" s="28">
        <v>22000</v>
      </c>
      <c r="T127" t="str" s="30" cm="1">
        <f t="array" ref="T127">IF($E127="","",ROUND($G127/$D$8,0)*$D$8)</f>
      </c>
      <c r="U127" s="14"/>
      <c r="V127" s="8"/>
    </row>
    <row r="128" ht="13.55" customHeight="1">
      <c r="A128" t="str" s="30" cm="1">
        <f t="array" ref="A128">IF($E128="","",COUNT($E$11:$E128))</f>
      </c>
      <c r="B128" s="39"/>
      <c r="C128" s="39"/>
      <c r="D128" s="39"/>
      <c r="E128" t="str" s="30" cm="1">
        <f t="array" ref="E128">IF($D128="","",_xlfn.IFERROR(IF($I128=-1,IF($D128&lt;0.5,$D128*86400,IF($D128&lt;100,$D128*1440,$D128)),IF($I128=2,VALUE(LEFT($D128,$J128-1))*3600+VALUE(MID($D128,$J128+1,$K128-$J128-1))*60,IF($I128=1,VALUE(LEFT($D128,$J128-1))*60,0))+IF($M128=0,VALUE($L128),VALUE(LEFT($L128,$M128-1))+VALUE(MID($L128,$M128+1,10))/10^(LEN($L128)-$M128))),""))</f>
      </c>
      <c r="F128" t="str" s="30" cm="1">
        <f t="array" ref="F128">IF($E128="","",MAX(0,$I$7-$E128))</f>
      </c>
      <c r="G128" t="str" s="30" cm="1">
        <f t="array" ref="G128">IF($E128="","",$F128*$D$7)</f>
      </c>
      <c r="H128" t="str" s="30" cm="1">
        <f t="array" ref="H128">IF($E128="","",$T128+IF(AND($V$6&gt;=$D$8,COUNT($E$11:$E128)=$V$7+1),$D$8,0))</f>
      </c>
      <c r="I128" t="str" s="30" cm="1">
        <f t="array" ref="I128">IF($D128="","",IF(ISTEXT($D128),LEN($D128)-LEN(SUBSTITUTE($D128,":","")),-1))</f>
      </c>
      <c r="J128" s="29" cm="1">
        <f t="array" ref="J128">_xlfn.IFERROR(FIND(":",$D128),0)</f>
        <v>0</v>
      </c>
      <c r="K128" s="29" cm="1">
        <f t="array" ref="K128">_xlfn.IFERROR(FIND(":",$D128,$J128+1),0)</f>
        <v>0</v>
      </c>
      <c r="L128" t="str" s="30" cm="1">
        <f t="array" ref="L128">IF($D128="","",IF($I128=2,MID($D128,$K128+1,10),IF($I128=1,MID($D128,$J128+1,10),IF($I128=0,$D128,""))))</f>
      </c>
      <c r="M128" s="29" cm="1">
        <f t="array" ref="M128">IF($L128="",0,_xlfn.IFERROR(FIND(".",SUBSTITUTE($L128,",",".")),0))</f>
        <v>0</v>
      </c>
      <c r="N128" s="29" cm="1">
        <f t="array" ref="N128">IF($E128="",10^9,$E128)</f>
        <v>1000000000</v>
      </c>
      <c r="O128" t="str" s="30" cm="1">
        <f t="array" ref="O128">IF($E128="","",SUM($E$11:$E128))</f>
      </c>
      <c r="P128" t="str" s="30" cm="1">
        <f t="array" ref="P128">IF($E128="","",($D$6/$D$7+$O128)/COUNT($E$11:$E128))</f>
      </c>
      <c r="Q128" s="29" cm="1">
        <f t="array" ref="Q128">IF($E128="",0,IF(AND($E128&lt;$P128,OR($E129="",$P128&lt;=$E129)),1,0))</f>
        <v>0</v>
      </c>
      <c r="R128" s="27" cm="1">
        <f t="array" ref="R128">IF($V$4=0,"",ROUND($V$4,1)-10+(128-11)*0.1)</f>
        <v>2524.8</v>
      </c>
      <c r="S128" s="28">
        <v>22000</v>
      </c>
      <c r="T128" t="str" s="30" cm="1">
        <f t="array" ref="T128">IF($E128="","",ROUND($G128/$D$8,0)*$D$8)</f>
      </c>
      <c r="U128" s="14"/>
      <c r="V128" s="8"/>
    </row>
    <row r="129" ht="13.55" customHeight="1">
      <c r="A129" t="str" s="30" cm="1">
        <f t="array" ref="A129">IF($E129="","",COUNT($E$11:$E129))</f>
      </c>
      <c r="B129" s="39"/>
      <c r="C129" s="39"/>
      <c r="D129" s="39"/>
      <c r="E129" t="str" s="30" cm="1">
        <f t="array" ref="E129">IF($D129="","",_xlfn.IFERROR(IF($I129=-1,IF($D129&lt;0.5,$D129*86400,IF($D129&lt;100,$D129*1440,$D129)),IF($I129=2,VALUE(LEFT($D129,$J129-1))*3600+VALUE(MID($D129,$J129+1,$K129-$J129-1))*60,IF($I129=1,VALUE(LEFT($D129,$J129-1))*60,0))+IF($M129=0,VALUE($L129),VALUE(LEFT($L129,$M129-1))+VALUE(MID($L129,$M129+1,10))/10^(LEN($L129)-$M129))),""))</f>
      </c>
      <c r="F129" t="str" s="30" cm="1">
        <f t="array" ref="F129">IF($E129="","",MAX(0,$I$7-$E129))</f>
      </c>
      <c r="G129" t="str" s="30" cm="1">
        <f t="array" ref="G129">IF($E129="","",$F129*$D$7)</f>
      </c>
      <c r="H129" t="str" s="30" cm="1">
        <f t="array" ref="H129">IF($E129="","",$T129+IF(AND($V$6&gt;=$D$8,COUNT($E$11:$E129)=$V$7+1),$D$8,0))</f>
      </c>
      <c r="I129" t="str" s="30" cm="1">
        <f t="array" ref="I129">IF($D129="","",IF(ISTEXT($D129),LEN($D129)-LEN(SUBSTITUTE($D129,":","")),-1))</f>
      </c>
      <c r="J129" s="29" cm="1">
        <f t="array" ref="J129">_xlfn.IFERROR(FIND(":",$D129),0)</f>
        <v>0</v>
      </c>
      <c r="K129" s="29" cm="1">
        <f t="array" ref="K129">_xlfn.IFERROR(FIND(":",$D129,$J129+1),0)</f>
        <v>0</v>
      </c>
      <c r="L129" t="str" s="30" cm="1">
        <f t="array" ref="L129">IF($D129="","",IF($I129=2,MID($D129,$K129+1,10),IF($I129=1,MID($D129,$J129+1,10),IF($I129=0,$D129,""))))</f>
      </c>
      <c r="M129" s="29" cm="1">
        <f t="array" ref="M129">IF($L129="",0,_xlfn.IFERROR(FIND(".",SUBSTITUTE($L129,",",".")),0))</f>
        <v>0</v>
      </c>
      <c r="N129" s="29" cm="1">
        <f t="array" ref="N129">IF($E129="",10^9,$E129)</f>
        <v>1000000000</v>
      </c>
      <c r="O129" t="str" s="30" cm="1">
        <f t="array" ref="O129">IF($E129="","",SUM($E$11:$E129))</f>
      </c>
      <c r="P129" t="str" s="30" cm="1">
        <f t="array" ref="P129">IF($E129="","",($D$6/$D$7+$O129)/COUNT($E$11:$E129))</f>
      </c>
      <c r="Q129" s="29" cm="1">
        <f t="array" ref="Q129">IF($E129="",0,IF(AND($E129&lt;$P129,OR($E130="",$P129&lt;=$E130)),1,0))</f>
        <v>0</v>
      </c>
      <c r="R129" s="27" cm="1">
        <f t="array" ref="R129">IF($V$4=0,"",ROUND($V$4,1)-10+(129-11)*0.1)</f>
        <v>2524.9</v>
      </c>
      <c r="S129" s="28">
        <v>22000</v>
      </c>
      <c r="T129" t="str" s="30" cm="1">
        <f t="array" ref="T129">IF($E129="","",ROUND($G129/$D$8,0)*$D$8)</f>
      </c>
      <c r="U129" s="14"/>
      <c r="V129" s="8"/>
    </row>
    <row r="130" ht="13.55" customHeight="1">
      <c r="A130" t="str" s="30" cm="1">
        <f t="array" ref="A130">IF($E130="","",COUNT($E$11:$E130))</f>
      </c>
      <c r="B130" s="39"/>
      <c r="C130" s="39"/>
      <c r="D130" s="39"/>
      <c r="E130" t="str" s="30" cm="1">
        <f t="array" ref="E130">IF($D130="","",_xlfn.IFERROR(IF($I130=-1,IF($D130&lt;0.5,$D130*86400,IF($D130&lt;100,$D130*1440,$D130)),IF($I130=2,VALUE(LEFT($D130,$J130-1))*3600+VALUE(MID($D130,$J130+1,$K130-$J130-1))*60,IF($I130=1,VALUE(LEFT($D130,$J130-1))*60,0))+IF($M130=0,VALUE($L130),VALUE(LEFT($L130,$M130-1))+VALUE(MID($L130,$M130+1,10))/10^(LEN($L130)-$M130))),""))</f>
      </c>
      <c r="F130" t="str" s="30" cm="1">
        <f t="array" ref="F130">IF($E130="","",MAX(0,$I$7-$E130))</f>
      </c>
      <c r="G130" t="str" s="30" cm="1">
        <f t="array" ref="G130">IF($E130="","",$F130*$D$7)</f>
      </c>
      <c r="H130" t="str" s="30" cm="1">
        <f t="array" ref="H130">IF($E130="","",$T130+IF(AND($V$6&gt;=$D$8,COUNT($E$11:$E130)=$V$7+1),$D$8,0))</f>
      </c>
      <c r="I130" t="str" s="30" cm="1">
        <f t="array" ref="I130">IF($D130="","",IF(ISTEXT($D130),LEN($D130)-LEN(SUBSTITUTE($D130,":","")),-1))</f>
      </c>
      <c r="J130" s="29" cm="1">
        <f t="array" ref="J130">_xlfn.IFERROR(FIND(":",$D130),0)</f>
        <v>0</v>
      </c>
      <c r="K130" s="29" cm="1">
        <f t="array" ref="K130">_xlfn.IFERROR(FIND(":",$D130,$J130+1),0)</f>
        <v>0</v>
      </c>
      <c r="L130" t="str" s="30" cm="1">
        <f t="array" ref="L130">IF($D130="","",IF($I130=2,MID($D130,$K130+1,10),IF($I130=1,MID($D130,$J130+1,10),IF($I130=0,$D130,""))))</f>
      </c>
      <c r="M130" s="29" cm="1">
        <f t="array" ref="M130">IF($L130="",0,_xlfn.IFERROR(FIND(".",SUBSTITUTE($L130,",",".")),0))</f>
        <v>0</v>
      </c>
      <c r="N130" s="29" cm="1">
        <f t="array" ref="N130">IF($E130="",10^9,$E130)</f>
        <v>1000000000</v>
      </c>
      <c r="O130" t="str" s="30" cm="1">
        <f t="array" ref="O130">IF($E130="","",SUM($E$11:$E130))</f>
      </c>
      <c r="P130" t="str" s="30" cm="1">
        <f t="array" ref="P130">IF($E130="","",($D$6/$D$7+$O130)/COUNT($E$11:$E130))</f>
      </c>
      <c r="Q130" s="29" cm="1">
        <f t="array" ref="Q130">IF($E130="",0,IF(AND($E130&lt;$P130,OR($E131="",$P130&lt;=$E131)),1,0))</f>
        <v>0</v>
      </c>
      <c r="R130" s="27" cm="1">
        <f t="array" ref="R130">IF($V$4=0,"",ROUND($V$4,1)-10+(130-11)*0.1)</f>
        <v>2525</v>
      </c>
      <c r="S130" s="28">
        <v>22000</v>
      </c>
      <c r="T130" t="str" s="30" cm="1">
        <f t="array" ref="T130">IF($E130="","",ROUND($G130/$D$8,0)*$D$8)</f>
      </c>
      <c r="U130" s="14"/>
      <c r="V130" s="8"/>
    </row>
    <row r="131" ht="13.55" customHeight="1">
      <c r="A131" t="str" s="30" cm="1">
        <f t="array" ref="A131">IF($E131="","",COUNT($E$11:$E131))</f>
      </c>
      <c r="B131" s="39"/>
      <c r="C131" s="39"/>
      <c r="D131" s="39"/>
      <c r="E131" t="str" s="30" cm="1">
        <f t="array" ref="E131">IF($D131="","",_xlfn.IFERROR(IF($I131=-1,IF($D131&lt;0.5,$D131*86400,IF($D131&lt;100,$D131*1440,$D131)),IF($I131=2,VALUE(LEFT($D131,$J131-1))*3600+VALUE(MID($D131,$J131+1,$K131-$J131-1))*60,IF($I131=1,VALUE(LEFT($D131,$J131-1))*60,0))+IF($M131=0,VALUE($L131),VALUE(LEFT($L131,$M131-1))+VALUE(MID($L131,$M131+1,10))/10^(LEN($L131)-$M131))),""))</f>
      </c>
      <c r="F131" t="str" s="30" cm="1">
        <f t="array" ref="F131">IF($E131="","",MAX(0,$I$7-$E131))</f>
      </c>
      <c r="G131" t="str" s="30" cm="1">
        <f t="array" ref="G131">IF($E131="","",$F131*$D$7)</f>
      </c>
      <c r="H131" t="str" s="30" cm="1">
        <f t="array" ref="H131">IF($E131="","",$T131+IF(AND($V$6&gt;=$D$8,COUNT($E$11:$E131)=$V$7+1),$D$8,0))</f>
      </c>
      <c r="I131" t="str" s="30" cm="1">
        <f t="array" ref="I131">IF($D131="","",IF(ISTEXT($D131),LEN($D131)-LEN(SUBSTITUTE($D131,":","")),-1))</f>
      </c>
      <c r="J131" s="29" cm="1">
        <f t="array" ref="J131">_xlfn.IFERROR(FIND(":",$D131),0)</f>
        <v>0</v>
      </c>
      <c r="K131" s="29" cm="1">
        <f t="array" ref="K131">_xlfn.IFERROR(FIND(":",$D131,$J131+1),0)</f>
        <v>0</v>
      </c>
      <c r="L131" t="str" s="30" cm="1">
        <f t="array" ref="L131">IF($D131="","",IF($I131=2,MID($D131,$K131+1,10),IF($I131=1,MID($D131,$J131+1,10),IF($I131=0,$D131,""))))</f>
      </c>
      <c r="M131" s="29" cm="1">
        <f t="array" ref="M131">IF($L131="",0,_xlfn.IFERROR(FIND(".",SUBSTITUTE($L131,",",".")),0))</f>
        <v>0</v>
      </c>
      <c r="N131" s="29" cm="1">
        <f t="array" ref="N131">IF($E131="",10^9,$E131)</f>
        <v>1000000000</v>
      </c>
      <c r="O131" t="str" s="30" cm="1">
        <f t="array" ref="O131">IF($E131="","",SUM($E$11:$E131))</f>
      </c>
      <c r="P131" t="str" s="30" cm="1">
        <f t="array" ref="P131">IF($E131="","",($D$6/$D$7+$O131)/COUNT($E$11:$E131))</f>
      </c>
      <c r="Q131" s="29" cm="1">
        <f t="array" ref="Q131">IF($E131="",0,IF(AND($E131&lt;$P131,OR($E132="",$P131&lt;=$E132)),1,0))</f>
        <v>0</v>
      </c>
      <c r="R131" s="27" cm="1">
        <f t="array" ref="R131">IF($V$4=0,"",ROUND($V$4,1)-10+(131-11)*0.1)</f>
        <v>2525.1</v>
      </c>
      <c r="S131" s="28">
        <v>22000</v>
      </c>
      <c r="T131" t="str" s="30" cm="1">
        <f t="array" ref="T131">IF($E131="","",ROUND($G131/$D$8,0)*$D$8)</f>
      </c>
      <c r="U131" s="14"/>
      <c r="V131" s="8"/>
    </row>
    <row r="132" ht="13.55" customHeight="1">
      <c r="A132" t="str" s="30" cm="1">
        <f t="array" ref="A132">IF($E132="","",COUNT($E$11:$E132))</f>
      </c>
      <c r="B132" s="39"/>
      <c r="C132" s="39"/>
      <c r="D132" s="39"/>
      <c r="E132" t="str" s="30" cm="1">
        <f t="array" ref="E132">IF($D132="","",_xlfn.IFERROR(IF($I132=-1,IF($D132&lt;0.5,$D132*86400,IF($D132&lt;100,$D132*1440,$D132)),IF($I132=2,VALUE(LEFT($D132,$J132-1))*3600+VALUE(MID($D132,$J132+1,$K132-$J132-1))*60,IF($I132=1,VALUE(LEFT($D132,$J132-1))*60,0))+IF($M132=0,VALUE($L132),VALUE(LEFT($L132,$M132-1))+VALUE(MID($L132,$M132+1,10))/10^(LEN($L132)-$M132))),""))</f>
      </c>
      <c r="F132" t="str" s="30" cm="1">
        <f t="array" ref="F132">IF($E132="","",MAX(0,$I$7-$E132))</f>
      </c>
      <c r="G132" t="str" s="30" cm="1">
        <f t="array" ref="G132">IF($E132="","",$F132*$D$7)</f>
      </c>
      <c r="H132" t="str" s="30" cm="1">
        <f t="array" ref="H132">IF($E132="","",$T132+IF(AND($V$6&gt;=$D$8,COUNT($E$11:$E132)=$V$7+1),$D$8,0))</f>
      </c>
      <c r="I132" t="str" s="30" cm="1">
        <f t="array" ref="I132">IF($D132="","",IF(ISTEXT($D132),LEN($D132)-LEN(SUBSTITUTE($D132,":","")),-1))</f>
      </c>
      <c r="J132" s="29" cm="1">
        <f t="array" ref="J132">_xlfn.IFERROR(FIND(":",$D132),0)</f>
        <v>0</v>
      </c>
      <c r="K132" s="29" cm="1">
        <f t="array" ref="K132">_xlfn.IFERROR(FIND(":",$D132,$J132+1),0)</f>
        <v>0</v>
      </c>
      <c r="L132" t="str" s="30" cm="1">
        <f t="array" ref="L132">IF($D132="","",IF($I132=2,MID($D132,$K132+1,10),IF($I132=1,MID($D132,$J132+1,10),IF($I132=0,$D132,""))))</f>
      </c>
      <c r="M132" s="29" cm="1">
        <f t="array" ref="M132">IF($L132="",0,_xlfn.IFERROR(FIND(".",SUBSTITUTE($L132,",",".")),0))</f>
        <v>0</v>
      </c>
      <c r="N132" s="29" cm="1">
        <f t="array" ref="N132">IF($E132="",10^9,$E132)</f>
        <v>1000000000</v>
      </c>
      <c r="O132" t="str" s="30" cm="1">
        <f t="array" ref="O132">IF($E132="","",SUM($E$11:$E132))</f>
      </c>
      <c r="P132" t="str" s="30" cm="1">
        <f t="array" ref="P132">IF($E132="","",($D$6/$D$7+$O132)/COUNT($E$11:$E132))</f>
      </c>
      <c r="Q132" s="29" cm="1">
        <f t="array" ref="Q132">IF($E132="",0,IF(AND($E132&lt;$P132,OR($E133="",$P132&lt;=$E133)),1,0))</f>
        <v>0</v>
      </c>
      <c r="R132" s="27" cm="1">
        <f t="array" ref="R132">IF($V$4=0,"",ROUND($V$4,1)-10+(132-11)*0.1)</f>
        <v>2525.2</v>
      </c>
      <c r="S132" s="28">
        <v>22000</v>
      </c>
      <c r="T132" t="str" s="30" cm="1">
        <f t="array" ref="T132">IF($E132="","",ROUND($G132/$D$8,0)*$D$8)</f>
      </c>
      <c r="U132" s="14"/>
      <c r="V132" s="8"/>
    </row>
    <row r="133" ht="13.55" customHeight="1">
      <c r="A133" t="str" s="30" cm="1">
        <f t="array" ref="A133">IF($E133="","",COUNT($E$11:$E133))</f>
      </c>
      <c r="B133" s="39"/>
      <c r="C133" s="39"/>
      <c r="D133" s="39"/>
      <c r="E133" t="str" s="30" cm="1">
        <f t="array" ref="E133">IF($D133="","",_xlfn.IFERROR(IF($I133=-1,IF($D133&lt;0.5,$D133*86400,IF($D133&lt;100,$D133*1440,$D133)),IF($I133=2,VALUE(LEFT($D133,$J133-1))*3600+VALUE(MID($D133,$J133+1,$K133-$J133-1))*60,IF($I133=1,VALUE(LEFT($D133,$J133-1))*60,0))+IF($M133=0,VALUE($L133),VALUE(LEFT($L133,$M133-1))+VALUE(MID($L133,$M133+1,10))/10^(LEN($L133)-$M133))),""))</f>
      </c>
      <c r="F133" t="str" s="30" cm="1">
        <f t="array" ref="F133">IF($E133="","",MAX(0,$I$7-$E133))</f>
      </c>
      <c r="G133" t="str" s="30" cm="1">
        <f t="array" ref="G133">IF($E133="","",$F133*$D$7)</f>
      </c>
      <c r="H133" t="str" s="30" cm="1">
        <f t="array" ref="H133">IF($E133="","",$T133+IF(AND($V$6&gt;=$D$8,COUNT($E$11:$E133)=$V$7+1),$D$8,0))</f>
      </c>
      <c r="I133" t="str" s="30" cm="1">
        <f t="array" ref="I133">IF($D133="","",IF(ISTEXT($D133),LEN($D133)-LEN(SUBSTITUTE($D133,":","")),-1))</f>
      </c>
      <c r="J133" s="29" cm="1">
        <f t="array" ref="J133">_xlfn.IFERROR(FIND(":",$D133),0)</f>
        <v>0</v>
      </c>
      <c r="K133" s="29" cm="1">
        <f t="array" ref="K133">_xlfn.IFERROR(FIND(":",$D133,$J133+1),0)</f>
        <v>0</v>
      </c>
      <c r="L133" t="str" s="30" cm="1">
        <f t="array" ref="L133">IF($D133="","",IF($I133=2,MID($D133,$K133+1,10),IF($I133=1,MID($D133,$J133+1,10),IF($I133=0,$D133,""))))</f>
      </c>
      <c r="M133" s="29" cm="1">
        <f t="array" ref="M133">IF($L133="",0,_xlfn.IFERROR(FIND(".",SUBSTITUTE($L133,",",".")),0))</f>
        <v>0</v>
      </c>
      <c r="N133" s="29" cm="1">
        <f t="array" ref="N133">IF($E133="",10^9,$E133)</f>
        <v>1000000000</v>
      </c>
      <c r="O133" t="str" s="30" cm="1">
        <f t="array" ref="O133">IF($E133="","",SUM($E$11:$E133))</f>
      </c>
      <c r="P133" t="str" s="30" cm="1">
        <f t="array" ref="P133">IF($E133="","",($D$6/$D$7+$O133)/COUNT($E$11:$E133))</f>
      </c>
      <c r="Q133" s="29" cm="1">
        <f t="array" ref="Q133">IF($E133="",0,IF(AND($E133&lt;$P133,OR($E134="",$P133&lt;=$E134)),1,0))</f>
        <v>0</v>
      </c>
      <c r="R133" s="27" cm="1">
        <f t="array" ref="R133">IF($V$4=0,"",ROUND($V$4,1)-10+(133-11)*0.1)</f>
        <v>2525.3</v>
      </c>
      <c r="S133" s="28">
        <v>22000</v>
      </c>
      <c r="T133" t="str" s="30" cm="1">
        <f t="array" ref="T133">IF($E133="","",ROUND($G133/$D$8,0)*$D$8)</f>
      </c>
      <c r="U133" s="14"/>
      <c r="V133" s="8"/>
    </row>
    <row r="134" ht="13.55" customHeight="1">
      <c r="A134" t="str" s="30" cm="1">
        <f t="array" ref="A134">IF($E134="","",COUNT($E$11:$E134))</f>
      </c>
      <c r="B134" s="39"/>
      <c r="C134" s="39"/>
      <c r="D134" s="39"/>
      <c r="E134" t="str" s="30" cm="1">
        <f t="array" ref="E134">IF($D134="","",_xlfn.IFERROR(IF($I134=-1,IF($D134&lt;0.5,$D134*86400,IF($D134&lt;100,$D134*1440,$D134)),IF($I134=2,VALUE(LEFT($D134,$J134-1))*3600+VALUE(MID($D134,$J134+1,$K134-$J134-1))*60,IF($I134=1,VALUE(LEFT($D134,$J134-1))*60,0))+IF($M134=0,VALUE($L134),VALUE(LEFT($L134,$M134-1))+VALUE(MID($L134,$M134+1,10))/10^(LEN($L134)-$M134))),""))</f>
      </c>
      <c r="F134" t="str" s="30" cm="1">
        <f t="array" ref="F134">IF($E134="","",MAX(0,$I$7-$E134))</f>
      </c>
      <c r="G134" t="str" s="30" cm="1">
        <f t="array" ref="G134">IF($E134="","",$F134*$D$7)</f>
      </c>
      <c r="H134" t="str" s="30" cm="1">
        <f t="array" ref="H134">IF($E134="","",$T134+IF(AND($V$6&gt;=$D$8,COUNT($E$11:$E134)=$V$7+1),$D$8,0))</f>
      </c>
      <c r="I134" t="str" s="30" cm="1">
        <f t="array" ref="I134">IF($D134="","",IF(ISTEXT($D134),LEN($D134)-LEN(SUBSTITUTE($D134,":","")),-1))</f>
      </c>
      <c r="J134" s="29" cm="1">
        <f t="array" ref="J134">_xlfn.IFERROR(FIND(":",$D134),0)</f>
        <v>0</v>
      </c>
      <c r="K134" s="29" cm="1">
        <f t="array" ref="K134">_xlfn.IFERROR(FIND(":",$D134,$J134+1),0)</f>
        <v>0</v>
      </c>
      <c r="L134" t="str" s="30" cm="1">
        <f t="array" ref="L134">IF($D134="","",IF($I134=2,MID($D134,$K134+1,10),IF($I134=1,MID($D134,$J134+1,10),IF($I134=0,$D134,""))))</f>
      </c>
      <c r="M134" s="29" cm="1">
        <f t="array" ref="M134">IF($L134="",0,_xlfn.IFERROR(FIND(".",SUBSTITUTE($L134,",",".")),0))</f>
        <v>0</v>
      </c>
      <c r="N134" s="29" cm="1">
        <f t="array" ref="N134">IF($E134="",10^9,$E134)</f>
        <v>1000000000</v>
      </c>
      <c r="O134" t="str" s="30" cm="1">
        <f t="array" ref="O134">IF($E134="","",SUM($E$11:$E134))</f>
      </c>
      <c r="P134" t="str" s="30" cm="1">
        <f t="array" ref="P134">IF($E134="","",($D$6/$D$7+$O134)/COUNT($E$11:$E134))</f>
      </c>
      <c r="Q134" s="29" cm="1">
        <f t="array" ref="Q134">IF($E134="",0,IF(AND($E134&lt;$P134,OR($E135="",$P134&lt;=$E135)),1,0))</f>
        <v>0</v>
      </c>
      <c r="R134" s="27" cm="1">
        <f t="array" ref="R134">IF($V$4=0,"",ROUND($V$4,1)-10+(134-11)*0.1)</f>
        <v>2525.4</v>
      </c>
      <c r="S134" s="28">
        <v>22000</v>
      </c>
      <c r="T134" t="str" s="30" cm="1">
        <f t="array" ref="T134">IF($E134="","",ROUND($G134/$D$8,0)*$D$8)</f>
      </c>
      <c r="U134" s="14"/>
      <c r="V134" s="8"/>
    </row>
    <row r="135" ht="13.55" customHeight="1">
      <c r="A135" t="str" s="30" cm="1">
        <f t="array" ref="A135">IF($E135="","",COUNT($E$11:$E135))</f>
      </c>
      <c r="B135" s="39"/>
      <c r="C135" s="39"/>
      <c r="D135" s="39"/>
      <c r="E135" t="str" s="30" cm="1">
        <f t="array" ref="E135">IF($D135="","",_xlfn.IFERROR(IF($I135=-1,IF($D135&lt;0.5,$D135*86400,IF($D135&lt;100,$D135*1440,$D135)),IF($I135=2,VALUE(LEFT($D135,$J135-1))*3600+VALUE(MID($D135,$J135+1,$K135-$J135-1))*60,IF($I135=1,VALUE(LEFT($D135,$J135-1))*60,0))+IF($M135=0,VALUE($L135),VALUE(LEFT($L135,$M135-1))+VALUE(MID($L135,$M135+1,10))/10^(LEN($L135)-$M135))),""))</f>
      </c>
      <c r="F135" t="str" s="30" cm="1">
        <f t="array" ref="F135">IF($E135="","",MAX(0,$I$7-$E135))</f>
      </c>
      <c r="G135" t="str" s="30" cm="1">
        <f t="array" ref="G135">IF($E135="","",$F135*$D$7)</f>
      </c>
      <c r="H135" t="str" s="30" cm="1">
        <f t="array" ref="H135">IF($E135="","",$T135+IF(AND($V$6&gt;=$D$8,COUNT($E$11:$E135)=$V$7+1),$D$8,0))</f>
      </c>
      <c r="I135" t="str" s="30" cm="1">
        <f t="array" ref="I135">IF($D135="","",IF(ISTEXT($D135),LEN($D135)-LEN(SUBSTITUTE($D135,":","")),-1))</f>
      </c>
      <c r="J135" s="29" cm="1">
        <f t="array" ref="J135">_xlfn.IFERROR(FIND(":",$D135),0)</f>
        <v>0</v>
      </c>
      <c r="K135" s="29" cm="1">
        <f t="array" ref="K135">_xlfn.IFERROR(FIND(":",$D135,$J135+1),0)</f>
        <v>0</v>
      </c>
      <c r="L135" t="str" s="30" cm="1">
        <f t="array" ref="L135">IF($D135="","",IF($I135=2,MID($D135,$K135+1,10),IF($I135=1,MID($D135,$J135+1,10),IF($I135=0,$D135,""))))</f>
      </c>
      <c r="M135" s="29" cm="1">
        <f t="array" ref="M135">IF($L135="",0,_xlfn.IFERROR(FIND(".",SUBSTITUTE($L135,",",".")),0))</f>
        <v>0</v>
      </c>
      <c r="N135" s="29" cm="1">
        <f t="array" ref="N135">IF($E135="",10^9,$E135)</f>
        <v>1000000000</v>
      </c>
      <c r="O135" t="str" s="30" cm="1">
        <f t="array" ref="O135">IF($E135="","",SUM($E$11:$E135))</f>
      </c>
      <c r="P135" t="str" s="30" cm="1">
        <f t="array" ref="P135">IF($E135="","",($D$6/$D$7+$O135)/COUNT($E$11:$E135))</f>
      </c>
      <c r="Q135" s="29" cm="1">
        <f t="array" ref="Q135">IF($E135="",0,IF(AND($E135&lt;$P135,OR($E136="",$P135&lt;=$E136)),1,0))</f>
        <v>0</v>
      </c>
      <c r="R135" s="27" cm="1">
        <f t="array" ref="R135">IF($V$4=0,"",ROUND($V$4,1)-10+(135-11)*0.1)</f>
        <v>2525.5</v>
      </c>
      <c r="S135" s="28">
        <v>22000</v>
      </c>
      <c r="T135" t="str" s="30" cm="1">
        <f t="array" ref="T135">IF($E135="","",ROUND($G135/$D$8,0)*$D$8)</f>
      </c>
      <c r="U135" s="14"/>
      <c r="V135" s="8"/>
    </row>
    <row r="136" ht="13.55" customHeight="1">
      <c r="A136" t="str" s="30" cm="1">
        <f t="array" ref="A136">IF($E136="","",COUNT($E$11:$E136))</f>
      </c>
      <c r="B136" s="39"/>
      <c r="C136" s="39"/>
      <c r="D136" s="39"/>
      <c r="E136" t="str" s="30" cm="1">
        <f t="array" ref="E136">IF($D136="","",_xlfn.IFERROR(IF($I136=-1,IF($D136&lt;0.5,$D136*86400,IF($D136&lt;100,$D136*1440,$D136)),IF($I136=2,VALUE(LEFT($D136,$J136-1))*3600+VALUE(MID($D136,$J136+1,$K136-$J136-1))*60,IF($I136=1,VALUE(LEFT($D136,$J136-1))*60,0))+IF($M136=0,VALUE($L136),VALUE(LEFT($L136,$M136-1))+VALUE(MID($L136,$M136+1,10))/10^(LEN($L136)-$M136))),""))</f>
      </c>
      <c r="F136" t="str" s="30" cm="1">
        <f t="array" ref="F136">IF($E136="","",MAX(0,$I$7-$E136))</f>
      </c>
      <c r="G136" t="str" s="30" cm="1">
        <f t="array" ref="G136">IF($E136="","",$F136*$D$7)</f>
      </c>
      <c r="H136" t="str" s="30" cm="1">
        <f t="array" ref="H136">IF($E136="","",$T136+IF(AND($V$6&gt;=$D$8,COUNT($E$11:$E136)=$V$7+1),$D$8,0))</f>
      </c>
      <c r="I136" t="str" s="30" cm="1">
        <f t="array" ref="I136">IF($D136="","",IF(ISTEXT($D136),LEN($D136)-LEN(SUBSTITUTE($D136,":","")),-1))</f>
      </c>
      <c r="J136" s="29" cm="1">
        <f t="array" ref="J136">_xlfn.IFERROR(FIND(":",$D136),0)</f>
        <v>0</v>
      </c>
      <c r="K136" s="29" cm="1">
        <f t="array" ref="K136">_xlfn.IFERROR(FIND(":",$D136,$J136+1),0)</f>
        <v>0</v>
      </c>
      <c r="L136" t="str" s="30" cm="1">
        <f t="array" ref="L136">IF($D136="","",IF($I136=2,MID($D136,$K136+1,10),IF($I136=1,MID($D136,$J136+1,10),IF($I136=0,$D136,""))))</f>
      </c>
      <c r="M136" s="29" cm="1">
        <f t="array" ref="M136">IF($L136="",0,_xlfn.IFERROR(FIND(".",SUBSTITUTE($L136,",",".")),0))</f>
        <v>0</v>
      </c>
      <c r="N136" s="29" cm="1">
        <f t="array" ref="N136">IF($E136="",10^9,$E136)</f>
        <v>1000000000</v>
      </c>
      <c r="O136" t="str" s="30" cm="1">
        <f t="array" ref="O136">IF($E136="","",SUM($E$11:$E136))</f>
      </c>
      <c r="P136" t="str" s="30" cm="1">
        <f t="array" ref="P136">IF($E136="","",($D$6/$D$7+$O136)/COUNT($E$11:$E136))</f>
      </c>
      <c r="Q136" s="29" cm="1">
        <f t="array" ref="Q136">IF($E136="",0,IF(AND($E136&lt;$P136,OR($E137="",$P136&lt;=$E137)),1,0))</f>
        <v>0</v>
      </c>
      <c r="R136" s="27" cm="1">
        <f t="array" ref="R136">IF($V$4=0,"",ROUND($V$4,1)-10+(136-11)*0.1)</f>
        <v>2525.6</v>
      </c>
      <c r="S136" s="28">
        <v>22000</v>
      </c>
      <c r="T136" t="str" s="30" cm="1">
        <f t="array" ref="T136">IF($E136="","",ROUND($G136/$D$8,0)*$D$8)</f>
      </c>
      <c r="U136" s="14"/>
      <c r="V136" s="8"/>
    </row>
    <row r="137" ht="13.55" customHeight="1">
      <c r="A137" t="str" s="30" cm="1">
        <f t="array" ref="A137">IF($E137="","",COUNT($E$11:$E137))</f>
      </c>
      <c r="B137" s="39"/>
      <c r="C137" s="39"/>
      <c r="D137" s="39"/>
      <c r="E137" t="str" s="30" cm="1">
        <f t="array" ref="E137">IF($D137="","",_xlfn.IFERROR(IF($I137=-1,IF($D137&lt;0.5,$D137*86400,IF($D137&lt;100,$D137*1440,$D137)),IF($I137=2,VALUE(LEFT($D137,$J137-1))*3600+VALUE(MID($D137,$J137+1,$K137-$J137-1))*60,IF($I137=1,VALUE(LEFT($D137,$J137-1))*60,0))+IF($M137=0,VALUE($L137),VALUE(LEFT($L137,$M137-1))+VALUE(MID($L137,$M137+1,10))/10^(LEN($L137)-$M137))),""))</f>
      </c>
      <c r="F137" t="str" s="30" cm="1">
        <f t="array" ref="F137">IF($E137="","",MAX(0,$I$7-$E137))</f>
      </c>
      <c r="G137" t="str" s="30" cm="1">
        <f t="array" ref="G137">IF($E137="","",$F137*$D$7)</f>
      </c>
      <c r="H137" t="str" s="30" cm="1">
        <f t="array" ref="H137">IF($E137="","",$T137+IF(AND($V$6&gt;=$D$8,COUNT($E$11:$E137)=$V$7+1),$D$8,0))</f>
      </c>
      <c r="I137" t="str" s="30" cm="1">
        <f t="array" ref="I137">IF($D137="","",IF(ISTEXT($D137),LEN($D137)-LEN(SUBSTITUTE($D137,":","")),-1))</f>
      </c>
      <c r="J137" s="29" cm="1">
        <f t="array" ref="J137">_xlfn.IFERROR(FIND(":",$D137),0)</f>
        <v>0</v>
      </c>
      <c r="K137" s="29" cm="1">
        <f t="array" ref="K137">_xlfn.IFERROR(FIND(":",$D137,$J137+1),0)</f>
        <v>0</v>
      </c>
      <c r="L137" t="str" s="30" cm="1">
        <f t="array" ref="L137">IF($D137="","",IF($I137=2,MID($D137,$K137+1,10),IF($I137=1,MID($D137,$J137+1,10),IF($I137=0,$D137,""))))</f>
      </c>
      <c r="M137" s="29" cm="1">
        <f t="array" ref="M137">IF($L137="",0,_xlfn.IFERROR(FIND(".",SUBSTITUTE($L137,",",".")),0))</f>
        <v>0</v>
      </c>
      <c r="N137" s="29" cm="1">
        <f t="array" ref="N137">IF($E137="",10^9,$E137)</f>
        <v>1000000000</v>
      </c>
      <c r="O137" t="str" s="30" cm="1">
        <f t="array" ref="O137">IF($E137="","",SUM($E$11:$E137))</f>
      </c>
      <c r="P137" t="str" s="30" cm="1">
        <f t="array" ref="P137">IF($E137="","",($D$6/$D$7+$O137)/COUNT($E$11:$E137))</f>
      </c>
      <c r="Q137" s="29" cm="1">
        <f t="array" ref="Q137">IF($E137="",0,IF(AND($E137&lt;$P137,OR($E138="",$P137&lt;=$E138)),1,0))</f>
        <v>0</v>
      </c>
      <c r="R137" s="27" cm="1">
        <f t="array" ref="R137">IF($V$4=0,"",ROUND($V$4,1)-10+(137-11)*0.1)</f>
        <v>2525.7</v>
      </c>
      <c r="S137" s="28">
        <v>22000</v>
      </c>
      <c r="T137" t="str" s="30" cm="1">
        <f t="array" ref="T137">IF($E137="","",ROUND($G137/$D$8,0)*$D$8)</f>
      </c>
      <c r="U137" s="14"/>
      <c r="V137" s="8"/>
    </row>
    <row r="138" ht="13.55" customHeight="1">
      <c r="A138" t="str" s="30" cm="1">
        <f t="array" ref="A138">IF($E138="","",COUNT($E$11:$E138))</f>
      </c>
      <c r="B138" s="39"/>
      <c r="C138" s="39"/>
      <c r="D138" s="39"/>
      <c r="E138" t="str" s="30" cm="1">
        <f t="array" ref="E138">IF($D138="","",_xlfn.IFERROR(IF($I138=-1,IF($D138&lt;0.5,$D138*86400,IF($D138&lt;100,$D138*1440,$D138)),IF($I138=2,VALUE(LEFT($D138,$J138-1))*3600+VALUE(MID($D138,$J138+1,$K138-$J138-1))*60,IF($I138=1,VALUE(LEFT($D138,$J138-1))*60,0))+IF($M138=0,VALUE($L138),VALUE(LEFT($L138,$M138-1))+VALUE(MID($L138,$M138+1,10))/10^(LEN($L138)-$M138))),""))</f>
      </c>
      <c r="F138" t="str" s="30" cm="1">
        <f t="array" ref="F138">IF($E138="","",MAX(0,$I$7-$E138))</f>
      </c>
      <c r="G138" t="str" s="30" cm="1">
        <f t="array" ref="G138">IF($E138="","",$F138*$D$7)</f>
      </c>
      <c r="H138" t="str" s="30" cm="1">
        <f t="array" ref="H138">IF($E138="","",$T138+IF(AND($V$6&gt;=$D$8,COUNT($E$11:$E138)=$V$7+1),$D$8,0))</f>
      </c>
      <c r="I138" t="str" s="30" cm="1">
        <f t="array" ref="I138">IF($D138="","",IF(ISTEXT($D138),LEN($D138)-LEN(SUBSTITUTE($D138,":","")),-1))</f>
      </c>
      <c r="J138" s="29" cm="1">
        <f t="array" ref="J138">_xlfn.IFERROR(FIND(":",$D138),0)</f>
        <v>0</v>
      </c>
      <c r="K138" s="29" cm="1">
        <f t="array" ref="K138">_xlfn.IFERROR(FIND(":",$D138,$J138+1),0)</f>
        <v>0</v>
      </c>
      <c r="L138" t="str" s="30" cm="1">
        <f t="array" ref="L138">IF($D138="","",IF($I138=2,MID($D138,$K138+1,10),IF($I138=1,MID($D138,$J138+1,10),IF($I138=0,$D138,""))))</f>
      </c>
      <c r="M138" s="29" cm="1">
        <f t="array" ref="M138">IF($L138="",0,_xlfn.IFERROR(FIND(".",SUBSTITUTE($L138,",",".")),0))</f>
        <v>0</v>
      </c>
      <c r="N138" s="29" cm="1">
        <f t="array" ref="N138">IF($E138="",10^9,$E138)</f>
        <v>1000000000</v>
      </c>
      <c r="O138" t="str" s="30" cm="1">
        <f t="array" ref="O138">IF($E138="","",SUM($E$11:$E138))</f>
      </c>
      <c r="P138" t="str" s="30" cm="1">
        <f t="array" ref="P138">IF($E138="","",($D$6/$D$7+$O138)/COUNT($E$11:$E138))</f>
      </c>
      <c r="Q138" s="29" cm="1">
        <f t="array" ref="Q138">IF($E138="",0,IF(AND($E138&lt;$P138,OR($E139="",$P138&lt;=$E139)),1,0))</f>
        <v>0</v>
      </c>
      <c r="R138" s="27" cm="1">
        <f t="array" ref="R138">IF($V$4=0,"",ROUND($V$4,1)-10+(138-11)*0.1)</f>
        <v>2525.8</v>
      </c>
      <c r="S138" s="28">
        <v>22000</v>
      </c>
      <c r="T138" t="str" s="30" cm="1">
        <f t="array" ref="T138">IF($E138="","",ROUND($G138/$D$8,0)*$D$8)</f>
      </c>
      <c r="U138" s="14"/>
      <c r="V138" s="8"/>
    </row>
    <row r="139" ht="13.55" customHeight="1">
      <c r="A139" t="str" s="30" cm="1">
        <f t="array" ref="A139">IF($E139="","",COUNT($E$11:$E139))</f>
      </c>
      <c r="B139" s="39"/>
      <c r="C139" s="39"/>
      <c r="D139" s="39"/>
      <c r="E139" t="str" s="30" cm="1">
        <f t="array" ref="E139">IF($D139="","",_xlfn.IFERROR(IF($I139=-1,IF($D139&lt;0.5,$D139*86400,IF($D139&lt;100,$D139*1440,$D139)),IF($I139=2,VALUE(LEFT($D139,$J139-1))*3600+VALUE(MID($D139,$J139+1,$K139-$J139-1))*60,IF($I139=1,VALUE(LEFT($D139,$J139-1))*60,0))+IF($M139=0,VALUE($L139),VALUE(LEFT($L139,$M139-1))+VALUE(MID($L139,$M139+1,10))/10^(LEN($L139)-$M139))),""))</f>
      </c>
      <c r="F139" t="str" s="30" cm="1">
        <f t="array" ref="F139">IF($E139="","",MAX(0,$I$7-$E139))</f>
      </c>
      <c r="G139" t="str" s="30" cm="1">
        <f t="array" ref="G139">IF($E139="","",$F139*$D$7)</f>
      </c>
      <c r="H139" t="str" s="30" cm="1">
        <f t="array" ref="H139">IF($E139="","",$T139+IF(AND($V$6&gt;=$D$8,COUNT($E$11:$E139)=$V$7+1),$D$8,0))</f>
      </c>
      <c r="I139" t="str" s="30" cm="1">
        <f t="array" ref="I139">IF($D139="","",IF(ISTEXT($D139),LEN($D139)-LEN(SUBSTITUTE($D139,":","")),-1))</f>
      </c>
      <c r="J139" s="29" cm="1">
        <f t="array" ref="J139">_xlfn.IFERROR(FIND(":",$D139),0)</f>
        <v>0</v>
      </c>
      <c r="K139" s="29" cm="1">
        <f t="array" ref="K139">_xlfn.IFERROR(FIND(":",$D139,$J139+1),0)</f>
        <v>0</v>
      </c>
      <c r="L139" t="str" s="30" cm="1">
        <f t="array" ref="L139">IF($D139="","",IF($I139=2,MID($D139,$K139+1,10),IF($I139=1,MID($D139,$J139+1,10),IF($I139=0,$D139,""))))</f>
      </c>
      <c r="M139" s="29" cm="1">
        <f t="array" ref="M139">IF($L139="",0,_xlfn.IFERROR(FIND(".",SUBSTITUTE($L139,",",".")),0))</f>
        <v>0</v>
      </c>
      <c r="N139" s="29" cm="1">
        <f t="array" ref="N139">IF($E139="",10^9,$E139)</f>
        <v>1000000000</v>
      </c>
      <c r="O139" t="str" s="30" cm="1">
        <f t="array" ref="O139">IF($E139="","",SUM($E$11:$E139))</f>
      </c>
      <c r="P139" t="str" s="30" cm="1">
        <f t="array" ref="P139">IF($E139="","",($D$6/$D$7+$O139)/COUNT($E$11:$E139))</f>
      </c>
      <c r="Q139" s="29" cm="1">
        <f t="array" ref="Q139">IF($E139="",0,IF(AND($E139&lt;$P139,OR($E140="",$P139&lt;=$E140)),1,0))</f>
        <v>0</v>
      </c>
      <c r="R139" s="27" cm="1">
        <f t="array" ref="R139">IF($V$4=0,"",ROUND($V$4,1)-10+(139-11)*0.1)</f>
        <v>2525.9</v>
      </c>
      <c r="S139" s="28">
        <v>22000</v>
      </c>
      <c r="T139" t="str" s="30" cm="1">
        <f t="array" ref="T139">IF($E139="","",ROUND($G139/$D$8,0)*$D$8)</f>
      </c>
      <c r="U139" s="14"/>
      <c r="V139" s="8"/>
    </row>
    <row r="140" ht="13.55" customHeight="1">
      <c r="A140" t="str" s="30" cm="1">
        <f t="array" ref="A140">IF($E140="","",COUNT($E$11:$E140))</f>
      </c>
      <c r="B140" s="39"/>
      <c r="C140" s="39"/>
      <c r="D140" s="39"/>
      <c r="E140" t="str" s="30" cm="1">
        <f t="array" ref="E140">IF($D140="","",_xlfn.IFERROR(IF($I140=-1,IF($D140&lt;0.5,$D140*86400,IF($D140&lt;100,$D140*1440,$D140)),IF($I140=2,VALUE(LEFT($D140,$J140-1))*3600+VALUE(MID($D140,$J140+1,$K140-$J140-1))*60,IF($I140=1,VALUE(LEFT($D140,$J140-1))*60,0))+IF($M140=0,VALUE($L140),VALUE(LEFT($L140,$M140-1))+VALUE(MID($L140,$M140+1,10))/10^(LEN($L140)-$M140))),""))</f>
      </c>
      <c r="F140" t="str" s="30" cm="1">
        <f t="array" ref="F140">IF($E140="","",MAX(0,$I$7-$E140))</f>
      </c>
      <c r="G140" t="str" s="30" cm="1">
        <f t="array" ref="G140">IF($E140="","",$F140*$D$7)</f>
      </c>
      <c r="H140" t="str" s="30" cm="1">
        <f t="array" ref="H140">IF($E140="","",$T140+IF(AND($V$6&gt;=$D$8,COUNT($E$11:$E140)=$V$7+1),$D$8,0))</f>
      </c>
      <c r="I140" t="str" s="30" cm="1">
        <f t="array" ref="I140">IF($D140="","",IF(ISTEXT($D140),LEN($D140)-LEN(SUBSTITUTE($D140,":","")),-1))</f>
      </c>
      <c r="J140" s="29" cm="1">
        <f t="array" ref="J140">_xlfn.IFERROR(FIND(":",$D140),0)</f>
        <v>0</v>
      </c>
      <c r="K140" s="29" cm="1">
        <f t="array" ref="K140">_xlfn.IFERROR(FIND(":",$D140,$J140+1),0)</f>
        <v>0</v>
      </c>
      <c r="L140" t="str" s="30" cm="1">
        <f t="array" ref="L140">IF($D140="","",IF($I140=2,MID($D140,$K140+1,10),IF($I140=1,MID($D140,$J140+1,10),IF($I140=0,$D140,""))))</f>
      </c>
      <c r="M140" s="29" cm="1">
        <f t="array" ref="M140">IF($L140="",0,_xlfn.IFERROR(FIND(".",SUBSTITUTE($L140,",",".")),0))</f>
        <v>0</v>
      </c>
      <c r="N140" s="29" cm="1">
        <f t="array" ref="N140">IF($E140="",10^9,$E140)</f>
        <v>1000000000</v>
      </c>
      <c r="O140" t="str" s="30" cm="1">
        <f t="array" ref="O140">IF($E140="","",SUM($E$11:$E140))</f>
      </c>
      <c r="P140" t="str" s="30" cm="1">
        <f t="array" ref="P140">IF($E140="","",($D$6/$D$7+$O140)/COUNT($E$11:$E140))</f>
      </c>
      <c r="Q140" s="29" cm="1">
        <f t="array" ref="Q140">IF($E140="",0,IF(AND($E140&lt;$P140,OR($E141="",$P140&lt;=$E141)),1,0))</f>
        <v>0</v>
      </c>
      <c r="R140" s="27" cm="1">
        <f t="array" ref="R140">IF($V$4=0,"",ROUND($V$4,1)-10+(140-11)*0.1)</f>
        <v>2526</v>
      </c>
      <c r="S140" s="28">
        <v>22000</v>
      </c>
      <c r="T140" t="str" s="30" cm="1">
        <f t="array" ref="T140">IF($E140="","",ROUND($G140/$D$8,0)*$D$8)</f>
      </c>
      <c r="U140" s="14"/>
      <c r="V140" s="8"/>
    </row>
    <row r="141" ht="13.55" customHeight="1">
      <c r="A141" t="str" s="30" cm="1">
        <f t="array" ref="A141">IF($E141="","",COUNT($E$11:$E141))</f>
      </c>
      <c r="B141" s="39"/>
      <c r="C141" s="39"/>
      <c r="D141" s="39"/>
      <c r="E141" t="str" s="30" cm="1">
        <f t="array" ref="E141">IF($D141="","",_xlfn.IFERROR(IF($I141=-1,IF($D141&lt;0.5,$D141*86400,IF($D141&lt;100,$D141*1440,$D141)),IF($I141=2,VALUE(LEFT($D141,$J141-1))*3600+VALUE(MID($D141,$J141+1,$K141-$J141-1))*60,IF($I141=1,VALUE(LEFT($D141,$J141-1))*60,0))+IF($M141=0,VALUE($L141),VALUE(LEFT($L141,$M141-1))+VALUE(MID($L141,$M141+1,10))/10^(LEN($L141)-$M141))),""))</f>
      </c>
      <c r="F141" t="str" s="30" cm="1">
        <f t="array" ref="F141">IF($E141="","",MAX(0,$I$7-$E141))</f>
      </c>
      <c r="G141" t="str" s="30" cm="1">
        <f t="array" ref="G141">IF($E141="","",$F141*$D$7)</f>
      </c>
      <c r="H141" t="str" s="30" cm="1">
        <f t="array" ref="H141">IF($E141="","",$T141+IF(AND($V$6&gt;=$D$8,COUNT($E$11:$E141)=$V$7+1),$D$8,0))</f>
      </c>
      <c r="I141" t="str" s="30" cm="1">
        <f t="array" ref="I141">IF($D141="","",IF(ISTEXT($D141),LEN($D141)-LEN(SUBSTITUTE($D141,":","")),-1))</f>
      </c>
      <c r="J141" s="29" cm="1">
        <f t="array" ref="J141">_xlfn.IFERROR(FIND(":",$D141),0)</f>
        <v>0</v>
      </c>
      <c r="K141" s="29" cm="1">
        <f t="array" ref="K141">_xlfn.IFERROR(FIND(":",$D141,$J141+1),0)</f>
        <v>0</v>
      </c>
      <c r="L141" t="str" s="30" cm="1">
        <f t="array" ref="L141">IF($D141="","",IF($I141=2,MID($D141,$K141+1,10),IF($I141=1,MID($D141,$J141+1,10),IF($I141=0,$D141,""))))</f>
      </c>
      <c r="M141" s="29" cm="1">
        <f t="array" ref="M141">IF($L141="",0,_xlfn.IFERROR(FIND(".",SUBSTITUTE($L141,",",".")),0))</f>
        <v>0</v>
      </c>
      <c r="N141" s="29" cm="1">
        <f t="array" ref="N141">IF($E141="",10^9,$E141)</f>
        <v>1000000000</v>
      </c>
      <c r="O141" t="str" s="30" cm="1">
        <f t="array" ref="O141">IF($E141="","",SUM($E$11:$E141))</f>
      </c>
      <c r="P141" t="str" s="30" cm="1">
        <f t="array" ref="P141">IF($E141="","",($D$6/$D$7+$O141)/COUNT($E$11:$E141))</f>
      </c>
      <c r="Q141" s="29" cm="1">
        <f t="array" ref="Q141">IF($E141="",0,IF(AND($E141&lt;$P141,OR($E142="",$P141&lt;=$E142)),1,0))</f>
        <v>0</v>
      </c>
      <c r="R141" s="27" cm="1">
        <f t="array" ref="R141">IF($V$4=0,"",ROUND($V$4,1)-10+(141-11)*0.1)</f>
        <v>2526.1</v>
      </c>
      <c r="S141" s="28">
        <v>22000</v>
      </c>
      <c r="T141" t="str" s="30" cm="1">
        <f t="array" ref="T141">IF($E141="","",ROUND($G141/$D$8,0)*$D$8)</f>
      </c>
      <c r="U141" s="14"/>
      <c r="V141" s="8"/>
    </row>
    <row r="142" ht="13.55" customHeight="1">
      <c r="A142" t="str" s="30" cm="1">
        <f t="array" ref="A142">IF($E142="","",COUNT($E$11:$E142))</f>
      </c>
      <c r="B142" s="39"/>
      <c r="C142" s="39"/>
      <c r="D142" s="39"/>
      <c r="E142" t="str" s="30" cm="1">
        <f t="array" ref="E142">IF($D142="","",_xlfn.IFERROR(IF($I142=-1,IF($D142&lt;0.5,$D142*86400,IF($D142&lt;100,$D142*1440,$D142)),IF($I142=2,VALUE(LEFT($D142,$J142-1))*3600+VALUE(MID($D142,$J142+1,$K142-$J142-1))*60,IF($I142=1,VALUE(LEFT($D142,$J142-1))*60,0))+IF($M142=0,VALUE($L142),VALUE(LEFT($L142,$M142-1))+VALUE(MID($L142,$M142+1,10))/10^(LEN($L142)-$M142))),""))</f>
      </c>
      <c r="F142" t="str" s="30" cm="1">
        <f t="array" ref="F142">IF($E142="","",MAX(0,$I$7-$E142))</f>
      </c>
      <c r="G142" t="str" s="30" cm="1">
        <f t="array" ref="G142">IF($E142="","",$F142*$D$7)</f>
      </c>
      <c r="H142" t="str" s="30" cm="1">
        <f t="array" ref="H142">IF($E142="","",$T142+IF(AND($V$6&gt;=$D$8,COUNT($E$11:$E142)=$V$7+1),$D$8,0))</f>
      </c>
      <c r="I142" t="str" s="30" cm="1">
        <f t="array" ref="I142">IF($D142="","",IF(ISTEXT($D142),LEN($D142)-LEN(SUBSTITUTE($D142,":","")),-1))</f>
      </c>
      <c r="J142" s="29" cm="1">
        <f t="array" ref="J142">_xlfn.IFERROR(FIND(":",$D142),0)</f>
        <v>0</v>
      </c>
      <c r="K142" s="29" cm="1">
        <f t="array" ref="K142">_xlfn.IFERROR(FIND(":",$D142,$J142+1),0)</f>
        <v>0</v>
      </c>
      <c r="L142" t="str" s="30" cm="1">
        <f t="array" ref="L142">IF($D142="","",IF($I142=2,MID($D142,$K142+1,10),IF($I142=1,MID($D142,$J142+1,10),IF($I142=0,$D142,""))))</f>
      </c>
      <c r="M142" s="29" cm="1">
        <f t="array" ref="M142">IF($L142="",0,_xlfn.IFERROR(FIND(".",SUBSTITUTE($L142,",",".")),0))</f>
        <v>0</v>
      </c>
      <c r="N142" s="29" cm="1">
        <f t="array" ref="N142">IF($E142="",10^9,$E142)</f>
        <v>1000000000</v>
      </c>
      <c r="O142" t="str" s="30" cm="1">
        <f t="array" ref="O142">IF($E142="","",SUM($E$11:$E142))</f>
      </c>
      <c r="P142" t="str" s="30" cm="1">
        <f t="array" ref="P142">IF($E142="","",($D$6/$D$7+$O142)/COUNT($E$11:$E142))</f>
      </c>
      <c r="Q142" s="29" cm="1">
        <f t="array" ref="Q142">IF($E142="",0,IF(AND($E142&lt;$P142,OR($E143="",$P142&lt;=$E143)),1,0))</f>
        <v>0</v>
      </c>
      <c r="R142" s="27" cm="1">
        <f t="array" ref="R142">IF($V$4=0,"",ROUND($V$4,1)-10+(142-11)*0.1)</f>
        <v>2526.2</v>
      </c>
      <c r="S142" s="28">
        <v>22000</v>
      </c>
      <c r="T142" t="str" s="30" cm="1">
        <f t="array" ref="T142">IF($E142="","",ROUND($G142/$D$8,0)*$D$8)</f>
      </c>
      <c r="U142" s="14"/>
      <c r="V142" s="8"/>
    </row>
    <row r="143" ht="13.55" customHeight="1">
      <c r="A143" t="str" s="30" cm="1">
        <f t="array" ref="A143">IF($E143="","",COUNT($E$11:$E143))</f>
      </c>
      <c r="B143" s="39"/>
      <c r="C143" s="39"/>
      <c r="D143" s="39"/>
      <c r="E143" t="str" s="30" cm="1">
        <f t="array" ref="E143">IF($D143="","",_xlfn.IFERROR(IF($I143=-1,IF($D143&lt;0.5,$D143*86400,IF($D143&lt;100,$D143*1440,$D143)),IF($I143=2,VALUE(LEFT($D143,$J143-1))*3600+VALUE(MID($D143,$J143+1,$K143-$J143-1))*60,IF($I143=1,VALUE(LEFT($D143,$J143-1))*60,0))+IF($M143=0,VALUE($L143),VALUE(LEFT($L143,$M143-1))+VALUE(MID($L143,$M143+1,10))/10^(LEN($L143)-$M143))),""))</f>
      </c>
      <c r="F143" t="str" s="30" cm="1">
        <f t="array" ref="F143">IF($E143="","",MAX(0,$I$7-$E143))</f>
      </c>
      <c r="G143" t="str" s="30" cm="1">
        <f t="array" ref="G143">IF($E143="","",$F143*$D$7)</f>
      </c>
      <c r="H143" t="str" s="30" cm="1">
        <f t="array" ref="H143">IF($E143="","",$T143+IF(AND($V$6&gt;=$D$8,COUNT($E$11:$E143)=$V$7+1),$D$8,0))</f>
      </c>
      <c r="I143" t="str" s="30" cm="1">
        <f t="array" ref="I143">IF($D143="","",IF(ISTEXT($D143),LEN($D143)-LEN(SUBSTITUTE($D143,":","")),-1))</f>
      </c>
      <c r="J143" s="29" cm="1">
        <f t="array" ref="J143">_xlfn.IFERROR(FIND(":",$D143),0)</f>
        <v>0</v>
      </c>
      <c r="K143" s="29" cm="1">
        <f t="array" ref="K143">_xlfn.IFERROR(FIND(":",$D143,$J143+1),0)</f>
        <v>0</v>
      </c>
      <c r="L143" t="str" s="30" cm="1">
        <f t="array" ref="L143">IF($D143="","",IF($I143=2,MID($D143,$K143+1,10),IF($I143=1,MID($D143,$J143+1,10),IF($I143=0,$D143,""))))</f>
      </c>
      <c r="M143" s="29" cm="1">
        <f t="array" ref="M143">IF($L143="",0,_xlfn.IFERROR(FIND(".",SUBSTITUTE($L143,",",".")),0))</f>
        <v>0</v>
      </c>
      <c r="N143" s="29" cm="1">
        <f t="array" ref="N143">IF($E143="",10^9,$E143)</f>
        <v>1000000000</v>
      </c>
      <c r="O143" t="str" s="30" cm="1">
        <f t="array" ref="O143">IF($E143="","",SUM($E$11:$E143))</f>
      </c>
      <c r="P143" t="str" s="30" cm="1">
        <f t="array" ref="P143">IF($E143="","",($D$6/$D$7+$O143)/COUNT($E$11:$E143))</f>
      </c>
      <c r="Q143" s="29" cm="1">
        <f t="array" ref="Q143">IF($E143="",0,IF(AND($E143&lt;$P143,OR($E144="",$P143&lt;=$E144)),1,0))</f>
        <v>0</v>
      </c>
      <c r="R143" s="27" cm="1">
        <f t="array" ref="R143">IF($V$4=0,"",ROUND($V$4,1)-10+(143-11)*0.1)</f>
        <v>2526.3</v>
      </c>
      <c r="S143" s="28">
        <v>22000</v>
      </c>
      <c r="T143" t="str" s="30" cm="1">
        <f t="array" ref="T143">IF($E143="","",ROUND($G143/$D$8,0)*$D$8)</f>
      </c>
      <c r="U143" s="14"/>
      <c r="V143" s="8"/>
    </row>
    <row r="144" ht="13.55" customHeight="1">
      <c r="A144" t="str" s="30" cm="1">
        <f t="array" ref="A144">IF($E144="","",COUNT($E$11:$E144))</f>
      </c>
      <c r="B144" s="39"/>
      <c r="C144" s="39"/>
      <c r="D144" s="39"/>
      <c r="E144" t="str" s="30" cm="1">
        <f t="array" ref="E144">IF($D144="","",_xlfn.IFERROR(IF($I144=-1,IF($D144&lt;0.5,$D144*86400,IF($D144&lt;100,$D144*1440,$D144)),IF($I144=2,VALUE(LEFT($D144,$J144-1))*3600+VALUE(MID($D144,$J144+1,$K144-$J144-1))*60,IF($I144=1,VALUE(LEFT($D144,$J144-1))*60,0))+IF($M144=0,VALUE($L144),VALUE(LEFT($L144,$M144-1))+VALUE(MID($L144,$M144+1,10))/10^(LEN($L144)-$M144))),""))</f>
      </c>
      <c r="F144" t="str" s="30" cm="1">
        <f t="array" ref="F144">IF($E144="","",MAX(0,$I$7-$E144))</f>
      </c>
      <c r="G144" t="str" s="30" cm="1">
        <f t="array" ref="G144">IF($E144="","",$F144*$D$7)</f>
      </c>
      <c r="H144" t="str" s="30" cm="1">
        <f t="array" ref="H144">IF($E144="","",$T144+IF(AND($V$6&gt;=$D$8,COUNT($E$11:$E144)=$V$7+1),$D$8,0))</f>
      </c>
      <c r="I144" t="str" s="30" cm="1">
        <f t="array" ref="I144">IF($D144="","",IF(ISTEXT($D144),LEN($D144)-LEN(SUBSTITUTE($D144,":","")),-1))</f>
      </c>
      <c r="J144" s="29" cm="1">
        <f t="array" ref="J144">_xlfn.IFERROR(FIND(":",$D144),0)</f>
        <v>0</v>
      </c>
      <c r="K144" s="29" cm="1">
        <f t="array" ref="K144">_xlfn.IFERROR(FIND(":",$D144,$J144+1),0)</f>
        <v>0</v>
      </c>
      <c r="L144" t="str" s="30" cm="1">
        <f t="array" ref="L144">IF($D144="","",IF($I144=2,MID($D144,$K144+1,10),IF($I144=1,MID($D144,$J144+1,10),IF($I144=0,$D144,""))))</f>
      </c>
      <c r="M144" s="29" cm="1">
        <f t="array" ref="M144">IF($L144="",0,_xlfn.IFERROR(FIND(".",SUBSTITUTE($L144,",",".")),0))</f>
        <v>0</v>
      </c>
      <c r="N144" s="29" cm="1">
        <f t="array" ref="N144">IF($E144="",10^9,$E144)</f>
        <v>1000000000</v>
      </c>
      <c r="O144" t="str" s="30" cm="1">
        <f t="array" ref="O144">IF($E144="","",SUM($E$11:$E144))</f>
      </c>
      <c r="P144" t="str" s="30" cm="1">
        <f t="array" ref="P144">IF($E144="","",($D$6/$D$7+$O144)/COUNT($E$11:$E144))</f>
      </c>
      <c r="Q144" s="29" cm="1">
        <f t="array" ref="Q144">IF($E144="",0,IF(AND($E144&lt;$P144,OR($E145="",$P144&lt;=$E145)),1,0))</f>
        <v>0</v>
      </c>
      <c r="R144" s="27" cm="1">
        <f t="array" ref="R144">IF($V$4=0,"",ROUND($V$4,1)-10+(144-11)*0.1)</f>
        <v>2526.4</v>
      </c>
      <c r="S144" s="28">
        <v>22000</v>
      </c>
      <c r="T144" t="str" s="30" cm="1">
        <f t="array" ref="T144">IF($E144="","",ROUND($G144/$D$8,0)*$D$8)</f>
      </c>
      <c r="U144" s="14"/>
      <c r="V144" s="8"/>
    </row>
    <row r="145" ht="13.55" customHeight="1">
      <c r="A145" t="str" s="30" cm="1">
        <f t="array" ref="A145">IF($E145="","",COUNT($E$11:$E145))</f>
      </c>
      <c r="B145" s="39"/>
      <c r="C145" s="39"/>
      <c r="D145" s="39"/>
      <c r="E145" t="str" s="30" cm="1">
        <f t="array" ref="E145">IF($D145="","",_xlfn.IFERROR(IF($I145=-1,IF($D145&lt;0.5,$D145*86400,IF($D145&lt;100,$D145*1440,$D145)),IF($I145=2,VALUE(LEFT($D145,$J145-1))*3600+VALUE(MID($D145,$J145+1,$K145-$J145-1))*60,IF($I145=1,VALUE(LEFT($D145,$J145-1))*60,0))+IF($M145=0,VALUE($L145),VALUE(LEFT($L145,$M145-1))+VALUE(MID($L145,$M145+1,10))/10^(LEN($L145)-$M145))),""))</f>
      </c>
      <c r="F145" t="str" s="30" cm="1">
        <f t="array" ref="F145">IF($E145="","",MAX(0,$I$7-$E145))</f>
      </c>
      <c r="G145" t="str" s="30" cm="1">
        <f t="array" ref="G145">IF($E145="","",$F145*$D$7)</f>
      </c>
      <c r="H145" t="str" s="30" cm="1">
        <f t="array" ref="H145">IF($E145="","",$T145+IF(AND($V$6&gt;=$D$8,COUNT($E$11:$E145)=$V$7+1),$D$8,0))</f>
      </c>
      <c r="I145" t="str" s="30" cm="1">
        <f t="array" ref="I145">IF($D145="","",IF(ISTEXT($D145),LEN($D145)-LEN(SUBSTITUTE($D145,":","")),-1))</f>
      </c>
      <c r="J145" s="29" cm="1">
        <f t="array" ref="J145">_xlfn.IFERROR(FIND(":",$D145),0)</f>
        <v>0</v>
      </c>
      <c r="K145" s="29" cm="1">
        <f t="array" ref="K145">_xlfn.IFERROR(FIND(":",$D145,$J145+1),0)</f>
        <v>0</v>
      </c>
      <c r="L145" t="str" s="30" cm="1">
        <f t="array" ref="L145">IF($D145="","",IF($I145=2,MID($D145,$K145+1,10),IF($I145=1,MID($D145,$J145+1,10),IF($I145=0,$D145,""))))</f>
      </c>
      <c r="M145" s="29" cm="1">
        <f t="array" ref="M145">IF($L145="",0,_xlfn.IFERROR(FIND(".",SUBSTITUTE($L145,",",".")),0))</f>
        <v>0</v>
      </c>
      <c r="N145" s="29" cm="1">
        <f t="array" ref="N145">IF($E145="",10^9,$E145)</f>
        <v>1000000000</v>
      </c>
      <c r="O145" t="str" s="30" cm="1">
        <f t="array" ref="O145">IF($E145="","",SUM($E$11:$E145))</f>
      </c>
      <c r="P145" t="str" s="30" cm="1">
        <f t="array" ref="P145">IF($E145="","",($D$6/$D$7+$O145)/COUNT($E$11:$E145))</f>
      </c>
      <c r="Q145" s="29" cm="1">
        <f t="array" ref="Q145">IF($E145="",0,IF(AND($E145&lt;$P145,OR($E146="",$P145&lt;=$E146)),1,0))</f>
        <v>0</v>
      </c>
      <c r="R145" s="27" cm="1">
        <f t="array" ref="R145">IF($V$4=0,"",ROUND($V$4,1)-10+(145-11)*0.1)</f>
        <v>2526.5</v>
      </c>
      <c r="S145" s="28">
        <v>23000</v>
      </c>
      <c r="T145" t="str" s="30" cm="1">
        <f t="array" ref="T145">IF($E145="","",ROUND($G145/$D$8,0)*$D$8)</f>
      </c>
      <c r="U145" s="14"/>
      <c r="V145" s="8"/>
    </row>
    <row r="146" ht="13.55" customHeight="1">
      <c r="A146" t="str" s="30" cm="1">
        <f t="array" ref="A146">IF($E146="","",COUNT($E$11:$E146))</f>
      </c>
      <c r="B146" s="39"/>
      <c r="C146" s="39"/>
      <c r="D146" s="39"/>
      <c r="E146" t="str" s="30" cm="1">
        <f t="array" ref="E146">IF($D146="","",_xlfn.IFERROR(IF($I146=-1,IF($D146&lt;0.5,$D146*86400,IF($D146&lt;100,$D146*1440,$D146)),IF($I146=2,VALUE(LEFT($D146,$J146-1))*3600+VALUE(MID($D146,$J146+1,$K146-$J146-1))*60,IF($I146=1,VALUE(LEFT($D146,$J146-1))*60,0))+IF($M146=0,VALUE($L146),VALUE(LEFT($L146,$M146-1))+VALUE(MID($L146,$M146+1,10))/10^(LEN($L146)-$M146))),""))</f>
      </c>
      <c r="F146" t="str" s="30" cm="1">
        <f t="array" ref="F146">IF($E146="","",MAX(0,$I$7-$E146))</f>
      </c>
      <c r="G146" t="str" s="30" cm="1">
        <f t="array" ref="G146">IF($E146="","",$F146*$D$7)</f>
      </c>
      <c r="H146" t="str" s="30" cm="1">
        <f t="array" ref="H146">IF($E146="","",$T146+IF(AND($V$6&gt;=$D$8,COUNT($E$11:$E146)=$V$7+1),$D$8,0))</f>
      </c>
      <c r="I146" t="str" s="30" cm="1">
        <f t="array" ref="I146">IF($D146="","",IF(ISTEXT($D146),LEN($D146)-LEN(SUBSTITUTE($D146,":","")),-1))</f>
      </c>
      <c r="J146" s="29" cm="1">
        <f t="array" ref="J146">_xlfn.IFERROR(FIND(":",$D146),0)</f>
        <v>0</v>
      </c>
      <c r="K146" s="29" cm="1">
        <f t="array" ref="K146">_xlfn.IFERROR(FIND(":",$D146,$J146+1),0)</f>
        <v>0</v>
      </c>
      <c r="L146" t="str" s="30" cm="1">
        <f t="array" ref="L146">IF($D146="","",IF($I146=2,MID($D146,$K146+1,10),IF($I146=1,MID($D146,$J146+1,10),IF($I146=0,$D146,""))))</f>
      </c>
      <c r="M146" s="29" cm="1">
        <f t="array" ref="M146">IF($L146="",0,_xlfn.IFERROR(FIND(".",SUBSTITUTE($L146,",",".")),0))</f>
        <v>0</v>
      </c>
      <c r="N146" s="29" cm="1">
        <f t="array" ref="N146">IF($E146="",10^9,$E146)</f>
        <v>1000000000</v>
      </c>
      <c r="O146" t="str" s="30" cm="1">
        <f t="array" ref="O146">IF($E146="","",SUM($E$11:$E146))</f>
      </c>
      <c r="P146" t="str" s="30" cm="1">
        <f t="array" ref="P146">IF($E146="","",($D$6/$D$7+$O146)/COUNT($E$11:$E146))</f>
      </c>
      <c r="Q146" s="29" cm="1">
        <f t="array" ref="Q146">IF($E146="",0,IF(AND($E146&lt;$P146,OR($E147="",$P146&lt;=$E147)),1,0))</f>
        <v>0</v>
      </c>
      <c r="R146" s="27" cm="1">
        <f t="array" ref="R146">IF($V$4=0,"",ROUND($V$4,1)-10+(146-11)*0.1)</f>
        <v>2526.6</v>
      </c>
      <c r="S146" s="28">
        <v>23000</v>
      </c>
      <c r="T146" t="str" s="30" cm="1">
        <f t="array" ref="T146">IF($E146="","",ROUND($G146/$D$8,0)*$D$8)</f>
      </c>
      <c r="U146" s="14"/>
      <c r="V146" s="8"/>
    </row>
    <row r="147" ht="13.55" customHeight="1">
      <c r="A147" t="str" s="30" cm="1">
        <f t="array" ref="A147">IF($E147="","",COUNT($E$11:$E147))</f>
      </c>
      <c r="B147" s="39"/>
      <c r="C147" s="39"/>
      <c r="D147" s="39"/>
      <c r="E147" t="str" s="30" cm="1">
        <f t="array" ref="E147">IF($D147="","",_xlfn.IFERROR(IF($I147=-1,IF($D147&lt;0.5,$D147*86400,IF($D147&lt;100,$D147*1440,$D147)),IF($I147=2,VALUE(LEFT($D147,$J147-1))*3600+VALUE(MID($D147,$J147+1,$K147-$J147-1))*60,IF($I147=1,VALUE(LEFT($D147,$J147-1))*60,0))+IF($M147=0,VALUE($L147),VALUE(LEFT($L147,$M147-1))+VALUE(MID($L147,$M147+1,10))/10^(LEN($L147)-$M147))),""))</f>
      </c>
      <c r="F147" t="str" s="30" cm="1">
        <f t="array" ref="F147">IF($E147="","",MAX(0,$I$7-$E147))</f>
      </c>
      <c r="G147" t="str" s="30" cm="1">
        <f t="array" ref="G147">IF($E147="","",$F147*$D$7)</f>
      </c>
      <c r="H147" t="str" s="30" cm="1">
        <f t="array" ref="H147">IF($E147="","",$T147+IF(AND($V$6&gt;=$D$8,COUNT($E$11:$E147)=$V$7+1),$D$8,0))</f>
      </c>
      <c r="I147" t="str" s="30" cm="1">
        <f t="array" ref="I147">IF($D147="","",IF(ISTEXT($D147),LEN($D147)-LEN(SUBSTITUTE($D147,":","")),-1))</f>
      </c>
      <c r="J147" s="29" cm="1">
        <f t="array" ref="J147">_xlfn.IFERROR(FIND(":",$D147),0)</f>
        <v>0</v>
      </c>
      <c r="K147" s="29" cm="1">
        <f t="array" ref="K147">_xlfn.IFERROR(FIND(":",$D147,$J147+1),0)</f>
        <v>0</v>
      </c>
      <c r="L147" t="str" s="30" cm="1">
        <f t="array" ref="L147">IF($D147="","",IF($I147=2,MID($D147,$K147+1,10),IF($I147=1,MID($D147,$J147+1,10),IF($I147=0,$D147,""))))</f>
      </c>
      <c r="M147" s="29" cm="1">
        <f t="array" ref="M147">IF($L147="",0,_xlfn.IFERROR(FIND(".",SUBSTITUTE($L147,",",".")),0))</f>
        <v>0</v>
      </c>
      <c r="N147" s="29" cm="1">
        <f t="array" ref="N147">IF($E147="",10^9,$E147)</f>
        <v>1000000000</v>
      </c>
      <c r="O147" t="str" s="30" cm="1">
        <f t="array" ref="O147">IF($E147="","",SUM($E$11:$E147))</f>
      </c>
      <c r="P147" t="str" s="30" cm="1">
        <f t="array" ref="P147">IF($E147="","",($D$6/$D$7+$O147)/COUNT($E$11:$E147))</f>
      </c>
      <c r="Q147" s="29" cm="1">
        <f t="array" ref="Q147">IF($E147="",0,IF(AND($E147&lt;$P147,OR($E148="",$P147&lt;=$E148)),1,0))</f>
        <v>0</v>
      </c>
      <c r="R147" s="27" cm="1">
        <f t="array" ref="R147">IF($V$4=0,"",ROUND($V$4,1)-10+(147-11)*0.1)</f>
        <v>2526.7</v>
      </c>
      <c r="S147" s="28">
        <v>23000</v>
      </c>
      <c r="T147" t="str" s="30" cm="1">
        <f t="array" ref="T147">IF($E147="","",ROUND($G147/$D$8,0)*$D$8)</f>
      </c>
      <c r="U147" s="14"/>
      <c r="V147" s="8"/>
    </row>
    <row r="148" ht="13.55" customHeight="1">
      <c r="A148" t="str" s="30" cm="1">
        <f t="array" ref="A148">IF($E148="","",COUNT($E$11:$E148))</f>
      </c>
      <c r="B148" s="39"/>
      <c r="C148" s="39"/>
      <c r="D148" s="39"/>
      <c r="E148" t="str" s="30" cm="1">
        <f t="array" ref="E148">IF($D148="","",_xlfn.IFERROR(IF($I148=-1,IF($D148&lt;0.5,$D148*86400,IF($D148&lt;100,$D148*1440,$D148)),IF($I148=2,VALUE(LEFT($D148,$J148-1))*3600+VALUE(MID($D148,$J148+1,$K148-$J148-1))*60,IF($I148=1,VALUE(LEFT($D148,$J148-1))*60,0))+IF($M148=0,VALUE($L148),VALUE(LEFT($L148,$M148-1))+VALUE(MID($L148,$M148+1,10))/10^(LEN($L148)-$M148))),""))</f>
      </c>
      <c r="F148" t="str" s="30" cm="1">
        <f t="array" ref="F148">IF($E148="","",MAX(0,$I$7-$E148))</f>
      </c>
      <c r="G148" t="str" s="30" cm="1">
        <f t="array" ref="G148">IF($E148="","",$F148*$D$7)</f>
      </c>
      <c r="H148" t="str" s="30" cm="1">
        <f t="array" ref="H148">IF($E148="","",$T148+IF(AND($V$6&gt;=$D$8,COUNT($E$11:$E148)=$V$7+1),$D$8,0))</f>
      </c>
      <c r="I148" t="str" s="30" cm="1">
        <f t="array" ref="I148">IF($D148="","",IF(ISTEXT($D148),LEN($D148)-LEN(SUBSTITUTE($D148,":","")),-1))</f>
      </c>
      <c r="J148" s="29" cm="1">
        <f t="array" ref="J148">_xlfn.IFERROR(FIND(":",$D148),0)</f>
        <v>0</v>
      </c>
      <c r="K148" s="29" cm="1">
        <f t="array" ref="K148">_xlfn.IFERROR(FIND(":",$D148,$J148+1),0)</f>
        <v>0</v>
      </c>
      <c r="L148" t="str" s="30" cm="1">
        <f t="array" ref="L148">IF($D148="","",IF($I148=2,MID($D148,$K148+1,10),IF($I148=1,MID($D148,$J148+1,10),IF($I148=0,$D148,""))))</f>
      </c>
      <c r="M148" s="29" cm="1">
        <f t="array" ref="M148">IF($L148="",0,_xlfn.IFERROR(FIND(".",SUBSTITUTE($L148,",",".")),0))</f>
        <v>0</v>
      </c>
      <c r="N148" s="29" cm="1">
        <f t="array" ref="N148">IF($E148="",10^9,$E148)</f>
        <v>1000000000</v>
      </c>
      <c r="O148" t="str" s="30" cm="1">
        <f t="array" ref="O148">IF($E148="","",SUM($E$11:$E148))</f>
      </c>
      <c r="P148" t="str" s="30" cm="1">
        <f t="array" ref="P148">IF($E148="","",($D$6/$D$7+$O148)/COUNT($E$11:$E148))</f>
      </c>
      <c r="Q148" s="29" cm="1">
        <f t="array" ref="Q148">IF($E148="",0,IF(AND($E148&lt;$P148,OR($E149="",$P148&lt;=$E149)),1,0))</f>
        <v>0</v>
      </c>
      <c r="R148" s="27" cm="1">
        <f t="array" ref="R148">IF($V$4=0,"",ROUND($V$4,1)-10+(148-11)*0.1)</f>
        <v>2526.8</v>
      </c>
      <c r="S148" s="28">
        <v>23000</v>
      </c>
      <c r="T148" t="str" s="30" cm="1">
        <f t="array" ref="T148">IF($E148="","",ROUND($G148/$D$8,0)*$D$8)</f>
      </c>
      <c r="U148" s="14"/>
      <c r="V148" s="8"/>
    </row>
    <row r="149" ht="13.55" customHeight="1">
      <c r="A149" t="str" s="30" cm="1">
        <f t="array" ref="A149">IF($E149="","",COUNT($E$11:$E149))</f>
      </c>
      <c r="B149" s="39"/>
      <c r="C149" s="39"/>
      <c r="D149" s="39"/>
      <c r="E149" t="str" s="30" cm="1">
        <f t="array" ref="E149">IF($D149="","",_xlfn.IFERROR(IF($I149=-1,IF($D149&lt;0.5,$D149*86400,IF($D149&lt;100,$D149*1440,$D149)),IF($I149=2,VALUE(LEFT($D149,$J149-1))*3600+VALUE(MID($D149,$J149+1,$K149-$J149-1))*60,IF($I149=1,VALUE(LEFT($D149,$J149-1))*60,0))+IF($M149=0,VALUE($L149),VALUE(LEFT($L149,$M149-1))+VALUE(MID($L149,$M149+1,10))/10^(LEN($L149)-$M149))),""))</f>
      </c>
      <c r="F149" t="str" s="30" cm="1">
        <f t="array" ref="F149">IF($E149="","",MAX(0,$I$7-$E149))</f>
      </c>
      <c r="G149" t="str" s="30" cm="1">
        <f t="array" ref="G149">IF($E149="","",$F149*$D$7)</f>
      </c>
      <c r="H149" t="str" s="30" cm="1">
        <f t="array" ref="H149">IF($E149="","",$T149+IF(AND($V$6&gt;=$D$8,COUNT($E$11:$E149)=$V$7+1),$D$8,0))</f>
      </c>
      <c r="I149" t="str" s="30" cm="1">
        <f t="array" ref="I149">IF($D149="","",IF(ISTEXT($D149),LEN($D149)-LEN(SUBSTITUTE($D149,":","")),-1))</f>
      </c>
      <c r="J149" s="29" cm="1">
        <f t="array" ref="J149">_xlfn.IFERROR(FIND(":",$D149),0)</f>
        <v>0</v>
      </c>
      <c r="K149" s="29" cm="1">
        <f t="array" ref="K149">_xlfn.IFERROR(FIND(":",$D149,$J149+1),0)</f>
        <v>0</v>
      </c>
      <c r="L149" t="str" s="30" cm="1">
        <f t="array" ref="L149">IF($D149="","",IF($I149=2,MID($D149,$K149+1,10),IF($I149=1,MID($D149,$J149+1,10),IF($I149=0,$D149,""))))</f>
      </c>
      <c r="M149" s="29" cm="1">
        <f t="array" ref="M149">IF($L149="",0,_xlfn.IFERROR(FIND(".",SUBSTITUTE($L149,",",".")),0))</f>
        <v>0</v>
      </c>
      <c r="N149" s="29" cm="1">
        <f t="array" ref="N149">IF($E149="",10^9,$E149)</f>
        <v>1000000000</v>
      </c>
      <c r="O149" t="str" s="30" cm="1">
        <f t="array" ref="O149">IF($E149="","",SUM($E$11:$E149))</f>
      </c>
      <c r="P149" t="str" s="30" cm="1">
        <f t="array" ref="P149">IF($E149="","",($D$6/$D$7+$O149)/COUNT($E$11:$E149))</f>
      </c>
      <c r="Q149" s="29" cm="1">
        <f t="array" ref="Q149">IF($E149="",0,IF(AND($E149&lt;$P149,OR($E150="",$P149&lt;=$E150)),1,0))</f>
        <v>0</v>
      </c>
      <c r="R149" s="27" cm="1">
        <f t="array" ref="R149">IF($V$4=0,"",ROUND($V$4,1)-10+(149-11)*0.1)</f>
        <v>2526.9</v>
      </c>
      <c r="S149" s="28">
        <v>23000</v>
      </c>
      <c r="T149" t="str" s="30" cm="1">
        <f t="array" ref="T149">IF($E149="","",ROUND($G149/$D$8,0)*$D$8)</f>
      </c>
      <c r="U149" s="14"/>
      <c r="V149" s="8"/>
    </row>
    <row r="150" ht="13.55" customHeight="1">
      <c r="A150" t="str" s="30" cm="1">
        <f t="array" ref="A150">IF($E150="","",COUNT($E$11:$E150))</f>
      </c>
      <c r="B150" s="39"/>
      <c r="C150" s="39"/>
      <c r="D150" s="39"/>
      <c r="E150" t="str" s="30" cm="1">
        <f t="array" ref="E150">IF($D150="","",_xlfn.IFERROR(IF($I150=-1,IF($D150&lt;0.5,$D150*86400,IF($D150&lt;100,$D150*1440,$D150)),IF($I150=2,VALUE(LEFT($D150,$J150-1))*3600+VALUE(MID($D150,$J150+1,$K150-$J150-1))*60,IF($I150=1,VALUE(LEFT($D150,$J150-1))*60,0))+IF($M150=0,VALUE($L150),VALUE(LEFT($L150,$M150-1))+VALUE(MID($L150,$M150+1,10))/10^(LEN($L150)-$M150))),""))</f>
      </c>
      <c r="F150" t="str" s="30" cm="1">
        <f t="array" ref="F150">IF($E150="","",MAX(0,$I$7-$E150))</f>
      </c>
      <c r="G150" t="str" s="30" cm="1">
        <f t="array" ref="G150">IF($E150="","",$F150*$D$7)</f>
      </c>
      <c r="H150" t="str" s="30" cm="1">
        <f t="array" ref="H150">IF($E150="","",$T150+IF(AND($V$6&gt;=$D$8,COUNT($E$11:$E150)=$V$7+1),$D$8,0))</f>
      </c>
      <c r="I150" t="str" s="30" cm="1">
        <f t="array" ref="I150">IF($D150="","",IF(ISTEXT($D150),LEN($D150)-LEN(SUBSTITUTE($D150,":","")),-1))</f>
      </c>
      <c r="J150" s="29" cm="1">
        <f t="array" ref="J150">_xlfn.IFERROR(FIND(":",$D150),0)</f>
        <v>0</v>
      </c>
      <c r="K150" s="29" cm="1">
        <f t="array" ref="K150">_xlfn.IFERROR(FIND(":",$D150,$J150+1),0)</f>
        <v>0</v>
      </c>
      <c r="L150" t="str" s="30" cm="1">
        <f t="array" ref="L150">IF($D150="","",IF($I150=2,MID($D150,$K150+1,10),IF($I150=1,MID($D150,$J150+1,10),IF($I150=0,$D150,""))))</f>
      </c>
      <c r="M150" s="29" cm="1">
        <f t="array" ref="M150">IF($L150="",0,_xlfn.IFERROR(FIND(".",SUBSTITUTE($L150,",",".")),0))</f>
        <v>0</v>
      </c>
      <c r="N150" s="29" cm="1">
        <f t="array" ref="N150">IF($E150="",10^9,$E150)</f>
        <v>1000000000</v>
      </c>
      <c r="O150" t="str" s="30" cm="1">
        <f t="array" ref="O150">IF($E150="","",SUM($E$11:$E150))</f>
      </c>
      <c r="P150" t="str" s="30" cm="1">
        <f t="array" ref="P150">IF($E150="","",($D$6/$D$7+$O150)/COUNT($E$11:$E150))</f>
      </c>
      <c r="Q150" s="29" cm="1">
        <f t="array" ref="Q150">IF($E150="",0,IF(AND($E150&lt;$P150,OR($E151="",$P150&lt;=$E151)),1,0))</f>
        <v>0</v>
      </c>
      <c r="R150" s="27" cm="1">
        <f t="array" ref="R150">IF($V$4=0,"",ROUND($V$4,1)-10+(150-11)*0.1)</f>
        <v>2527</v>
      </c>
      <c r="S150" s="28">
        <v>23000</v>
      </c>
      <c r="T150" t="str" s="30" cm="1">
        <f t="array" ref="T150">IF($E150="","",ROUND($G150/$D$8,0)*$D$8)</f>
      </c>
      <c r="U150" s="14"/>
      <c r="V150" s="8"/>
    </row>
    <row r="151" ht="13.55" customHeight="1">
      <c r="A151" t="str" s="30" cm="1">
        <f t="array" ref="A151">IF($E151="","",COUNT($E$11:$E151))</f>
      </c>
      <c r="B151" s="39"/>
      <c r="C151" s="39"/>
      <c r="D151" s="39"/>
      <c r="E151" t="str" s="30" cm="1">
        <f t="array" ref="E151">IF($D151="","",_xlfn.IFERROR(IF($I151=-1,IF($D151&lt;0.5,$D151*86400,IF($D151&lt;100,$D151*1440,$D151)),IF($I151=2,VALUE(LEFT($D151,$J151-1))*3600+VALUE(MID($D151,$J151+1,$K151-$J151-1))*60,IF($I151=1,VALUE(LEFT($D151,$J151-1))*60,0))+IF($M151=0,VALUE($L151),VALUE(LEFT($L151,$M151-1))+VALUE(MID($L151,$M151+1,10))/10^(LEN($L151)-$M151))),""))</f>
      </c>
      <c r="F151" t="str" s="30" cm="1">
        <f t="array" ref="F151">IF($E151="","",MAX(0,$I$7-$E151))</f>
      </c>
      <c r="G151" t="str" s="30" cm="1">
        <f t="array" ref="G151">IF($E151="","",$F151*$D$7)</f>
      </c>
      <c r="H151" t="str" s="30" cm="1">
        <f t="array" ref="H151">IF($E151="","",$T151+IF(AND($V$6&gt;=$D$8,COUNT($E$11:$E151)=$V$7+1),$D$8,0))</f>
      </c>
      <c r="I151" t="str" s="30" cm="1">
        <f t="array" ref="I151">IF($D151="","",IF(ISTEXT($D151),LEN($D151)-LEN(SUBSTITUTE($D151,":","")),-1))</f>
      </c>
      <c r="J151" s="29" cm="1">
        <f t="array" ref="J151">_xlfn.IFERROR(FIND(":",$D151),0)</f>
        <v>0</v>
      </c>
      <c r="K151" s="29" cm="1">
        <f t="array" ref="K151">_xlfn.IFERROR(FIND(":",$D151,$J151+1),0)</f>
        <v>0</v>
      </c>
      <c r="L151" t="str" s="30" cm="1">
        <f t="array" ref="L151">IF($D151="","",IF($I151=2,MID($D151,$K151+1,10),IF($I151=1,MID($D151,$J151+1,10),IF($I151=0,$D151,""))))</f>
      </c>
      <c r="M151" s="29" cm="1">
        <f t="array" ref="M151">IF($L151="",0,_xlfn.IFERROR(FIND(".",SUBSTITUTE($L151,",",".")),0))</f>
        <v>0</v>
      </c>
      <c r="N151" s="29" cm="1">
        <f t="array" ref="N151">IF($E151="",10^9,$E151)</f>
        <v>1000000000</v>
      </c>
      <c r="O151" t="str" s="30" cm="1">
        <f t="array" ref="O151">IF($E151="","",SUM($E$11:$E151))</f>
      </c>
      <c r="P151" t="str" s="30" cm="1">
        <f t="array" ref="P151">IF($E151="","",($D$6/$D$7+$O151)/COUNT($E$11:$E151))</f>
      </c>
      <c r="Q151" s="29" cm="1">
        <f t="array" ref="Q151">IF($E151="",0,IF(AND($E151&lt;$P151,OR($E152="",$P151&lt;=$E152)),1,0))</f>
        <v>0</v>
      </c>
      <c r="R151" s="27" cm="1">
        <f t="array" ref="R151">IF($V$4=0,"",ROUND($V$4,1)-10+(151-11)*0.1)</f>
        <v>2527.1</v>
      </c>
      <c r="S151" s="28">
        <v>23000</v>
      </c>
      <c r="T151" t="str" s="30" cm="1">
        <f t="array" ref="T151">IF($E151="","",ROUND($G151/$D$8,0)*$D$8)</f>
      </c>
      <c r="U151" s="14"/>
      <c r="V151" s="8"/>
    </row>
    <row r="152" ht="13.55" customHeight="1">
      <c r="A152" t="str" s="30" cm="1">
        <f t="array" ref="A152">IF($E152="","",COUNT($E$11:$E152))</f>
      </c>
      <c r="B152" s="39"/>
      <c r="C152" s="39"/>
      <c r="D152" s="39"/>
      <c r="E152" t="str" s="30" cm="1">
        <f t="array" ref="E152">IF($D152="","",_xlfn.IFERROR(IF($I152=-1,IF($D152&lt;0.5,$D152*86400,IF($D152&lt;100,$D152*1440,$D152)),IF($I152=2,VALUE(LEFT($D152,$J152-1))*3600+VALUE(MID($D152,$J152+1,$K152-$J152-1))*60,IF($I152=1,VALUE(LEFT($D152,$J152-1))*60,0))+IF($M152=0,VALUE($L152),VALUE(LEFT($L152,$M152-1))+VALUE(MID($L152,$M152+1,10))/10^(LEN($L152)-$M152))),""))</f>
      </c>
      <c r="F152" t="str" s="30" cm="1">
        <f t="array" ref="F152">IF($E152="","",MAX(0,$I$7-$E152))</f>
      </c>
      <c r="G152" t="str" s="30" cm="1">
        <f t="array" ref="G152">IF($E152="","",$F152*$D$7)</f>
      </c>
      <c r="H152" t="str" s="30" cm="1">
        <f t="array" ref="H152">IF($E152="","",$T152+IF(AND($V$6&gt;=$D$8,COUNT($E$11:$E152)=$V$7+1),$D$8,0))</f>
      </c>
      <c r="I152" t="str" s="30" cm="1">
        <f t="array" ref="I152">IF($D152="","",IF(ISTEXT($D152),LEN($D152)-LEN(SUBSTITUTE($D152,":","")),-1))</f>
      </c>
      <c r="J152" s="29" cm="1">
        <f t="array" ref="J152">_xlfn.IFERROR(FIND(":",$D152),0)</f>
        <v>0</v>
      </c>
      <c r="K152" s="29" cm="1">
        <f t="array" ref="K152">_xlfn.IFERROR(FIND(":",$D152,$J152+1),0)</f>
        <v>0</v>
      </c>
      <c r="L152" t="str" s="30" cm="1">
        <f t="array" ref="L152">IF($D152="","",IF($I152=2,MID($D152,$K152+1,10),IF($I152=1,MID($D152,$J152+1,10),IF($I152=0,$D152,""))))</f>
      </c>
      <c r="M152" s="29" cm="1">
        <f t="array" ref="M152">IF($L152="",0,_xlfn.IFERROR(FIND(".",SUBSTITUTE($L152,",",".")),0))</f>
        <v>0</v>
      </c>
      <c r="N152" s="29" cm="1">
        <f t="array" ref="N152">IF($E152="",10^9,$E152)</f>
        <v>1000000000</v>
      </c>
      <c r="O152" t="str" s="30" cm="1">
        <f t="array" ref="O152">IF($E152="","",SUM($E$11:$E152))</f>
      </c>
      <c r="P152" t="str" s="30" cm="1">
        <f t="array" ref="P152">IF($E152="","",($D$6/$D$7+$O152)/COUNT($E$11:$E152))</f>
      </c>
      <c r="Q152" s="29" cm="1">
        <f t="array" ref="Q152">IF($E152="",0,IF(AND($E152&lt;$P152,OR($E153="",$P152&lt;=$E153)),1,0))</f>
        <v>0</v>
      </c>
      <c r="R152" s="27" cm="1">
        <f t="array" ref="R152">IF($V$4=0,"",ROUND($V$4,1)-10+(152-11)*0.1)</f>
        <v>2527.2</v>
      </c>
      <c r="S152" s="28">
        <v>23000</v>
      </c>
      <c r="T152" t="str" s="30" cm="1">
        <f t="array" ref="T152">IF($E152="","",ROUND($G152/$D$8,0)*$D$8)</f>
      </c>
      <c r="U152" s="14"/>
      <c r="V152" s="8"/>
    </row>
    <row r="153" ht="13.55" customHeight="1">
      <c r="A153" t="str" s="30" cm="1">
        <f t="array" ref="A153">IF($E153="","",COUNT($E$11:$E153))</f>
      </c>
      <c r="B153" s="39"/>
      <c r="C153" s="39"/>
      <c r="D153" s="39"/>
      <c r="E153" t="str" s="30" cm="1">
        <f t="array" ref="E153">IF($D153="","",_xlfn.IFERROR(IF($I153=-1,IF($D153&lt;0.5,$D153*86400,IF($D153&lt;100,$D153*1440,$D153)),IF($I153=2,VALUE(LEFT($D153,$J153-1))*3600+VALUE(MID($D153,$J153+1,$K153-$J153-1))*60,IF($I153=1,VALUE(LEFT($D153,$J153-1))*60,0))+IF($M153=0,VALUE($L153),VALUE(LEFT($L153,$M153-1))+VALUE(MID($L153,$M153+1,10))/10^(LEN($L153)-$M153))),""))</f>
      </c>
      <c r="F153" t="str" s="30" cm="1">
        <f t="array" ref="F153">IF($E153="","",MAX(0,$I$7-$E153))</f>
      </c>
      <c r="G153" t="str" s="30" cm="1">
        <f t="array" ref="G153">IF($E153="","",$F153*$D$7)</f>
      </c>
      <c r="H153" t="str" s="30" cm="1">
        <f t="array" ref="H153">IF($E153="","",$T153+IF(AND($V$6&gt;=$D$8,COUNT($E$11:$E153)=$V$7+1),$D$8,0))</f>
      </c>
      <c r="I153" t="str" s="30" cm="1">
        <f t="array" ref="I153">IF($D153="","",IF(ISTEXT($D153),LEN($D153)-LEN(SUBSTITUTE($D153,":","")),-1))</f>
      </c>
      <c r="J153" s="29" cm="1">
        <f t="array" ref="J153">_xlfn.IFERROR(FIND(":",$D153),0)</f>
        <v>0</v>
      </c>
      <c r="K153" s="29" cm="1">
        <f t="array" ref="K153">_xlfn.IFERROR(FIND(":",$D153,$J153+1),0)</f>
        <v>0</v>
      </c>
      <c r="L153" t="str" s="30" cm="1">
        <f t="array" ref="L153">IF($D153="","",IF($I153=2,MID($D153,$K153+1,10),IF($I153=1,MID($D153,$J153+1,10),IF($I153=0,$D153,""))))</f>
      </c>
      <c r="M153" s="29" cm="1">
        <f t="array" ref="M153">IF($L153="",0,_xlfn.IFERROR(FIND(".",SUBSTITUTE($L153,",",".")),0))</f>
        <v>0</v>
      </c>
      <c r="N153" s="29" cm="1">
        <f t="array" ref="N153">IF($E153="",10^9,$E153)</f>
        <v>1000000000</v>
      </c>
      <c r="O153" t="str" s="30" cm="1">
        <f t="array" ref="O153">IF($E153="","",SUM($E$11:$E153))</f>
      </c>
      <c r="P153" t="str" s="30" cm="1">
        <f t="array" ref="P153">IF($E153="","",($D$6/$D$7+$O153)/COUNT($E$11:$E153))</f>
      </c>
      <c r="Q153" s="29" cm="1">
        <f t="array" ref="Q153">IF($E153="",0,IF(AND($E153&lt;$P153,OR($E154="",$P153&lt;=$E154)),1,0))</f>
        <v>0</v>
      </c>
      <c r="R153" s="27" cm="1">
        <f t="array" ref="R153">IF($V$4=0,"",ROUND($V$4,1)-10+(153-11)*0.1)</f>
        <v>2527.3</v>
      </c>
      <c r="S153" s="28">
        <v>23000</v>
      </c>
      <c r="T153" t="str" s="30" cm="1">
        <f t="array" ref="T153">IF($E153="","",ROUND($G153/$D$8,0)*$D$8)</f>
      </c>
      <c r="U153" s="14"/>
      <c r="V153" s="8"/>
    </row>
    <row r="154" ht="13.55" customHeight="1">
      <c r="A154" t="str" s="30" cm="1">
        <f t="array" ref="A154">IF($E154="","",COUNT($E$11:$E154))</f>
      </c>
      <c r="B154" s="39"/>
      <c r="C154" s="39"/>
      <c r="D154" s="39"/>
      <c r="E154" t="str" s="30" cm="1">
        <f t="array" ref="E154">IF($D154="","",_xlfn.IFERROR(IF($I154=-1,IF($D154&lt;0.5,$D154*86400,IF($D154&lt;100,$D154*1440,$D154)),IF($I154=2,VALUE(LEFT($D154,$J154-1))*3600+VALUE(MID($D154,$J154+1,$K154-$J154-1))*60,IF($I154=1,VALUE(LEFT($D154,$J154-1))*60,0))+IF($M154=0,VALUE($L154),VALUE(LEFT($L154,$M154-1))+VALUE(MID($L154,$M154+1,10))/10^(LEN($L154)-$M154))),""))</f>
      </c>
      <c r="F154" t="str" s="30" cm="1">
        <f t="array" ref="F154">IF($E154="","",MAX(0,$I$7-$E154))</f>
      </c>
      <c r="G154" t="str" s="30" cm="1">
        <f t="array" ref="G154">IF($E154="","",$F154*$D$7)</f>
      </c>
      <c r="H154" t="str" s="30" cm="1">
        <f t="array" ref="H154">IF($E154="","",$T154+IF(AND($V$6&gt;=$D$8,COUNT($E$11:$E154)=$V$7+1),$D$8,0))</f>
      </c>
      <c r="I154" t="str" s="30" cm="1">
        <f t="array" ref="I154">IF($D154="","",IF(ISTEXT($D154),LEN($D154)-LEN(SUBSTITUTE($D154,":","")),-1))</f>
      </c>
      <c r="J154" s="29" cm="1">
        <f t="array" ref="J154">_xlfn.IFERROR(FIND(":",$D154),0)</f>
        <v>0</v>
      </c>
      <c r="K154" s="29" cm="1">
        <f t="array" ref="K154">_xlfn.IFERROR(FIND(":",$D154,$J154+1),0)</f>
        <v>0</v>
      </c>
      <c r="L154" t="str" s="30" cm="1">
        <f t="array" ref="L154">IF($D154="","",IF($I154=2,MID($D154,$K154+1,10),IF($I154=1,MID($D154,$J154+1,10),IF($I154=0,$D154,""))))</f>
      </c>
      <c r="M154" s="29" cm="1">
        <f t="array" ref="M154">IF($L154="",0,_xlfn.IFERROR(FIND(".",SUBSTITUTE($L154,",",".")),0))</f>
        <v>0</v>
      </c>
      <c r="N154" s="29" cm="1">
        <f t="array" ref="N154">IF($E154="",10^9,$E154)</f>
        <v>1000000000</v>
      </c>
      <c r="O154" t="str" s="30" cm="1">
        <f t="array" ref="O154">IF($E154="","",SUM($E$11:$E154))</f>
      </c>
      <c r="P154" t="str" s="30" cm="1">
        <f t="array" ref="P154">IF($E154="","",($D$6/$D$7+$O154)/COUNT($E$11:$E154))</f>
      </c>
      <c r="Q154" s="29" cm="1">
        <f t="array" ref="Q154">IF($E154="",0,IF(AND($E154&lt;$P154,OR($E155="",$P154&lt;=$E155)),1,0))</f>
        <v>0</v>
      </c>
      <c r="R154" s="27" cm="1">
        <f t="array" ref="R154">IF($V$4=0,"",ROUND($V$4,1)-10+(154-11)*0.1)</f>
        <v>2527.4</v>
      </c>
      <c r="S154" s="28">
        <v>23000</v>
      </c>
      <c r="T154" t="str" s="30" cm="1">
        <f t="array" ref="T154">IF($E154="","",ROUND($G154/$D$8,0)*$D$8)</f>
      </c>
      <c r="U154" s="14"/>
      <c r="V154" s="8"/>
    </row>
    <row r="155" ht="13.55" customHeight="1">
      <c r="A155" t="str" s="30" cm="1">
        <f t="array" ref="A155">IF($E155="","",COUNT($E$11:$E155))</f>
      </c>
      <c r="B155" s="39"/>
      <c r="C155" s="39"/>
      <c r="D155" s="39"/>
      <c r="E155" t="str" s="30" cm="1">
        <f t="array" ref="E155">IF($D155="","",_xlfn.IFERROR(IF($I155=-1,IF($D155&lt;0.5,$D155*86400,IF($D155&lt;100,$D155*1440,$D155)),IF($I155=2,VALUE(LEFT($D155,$J155-1))*3600+VALUE(MID($D155,$J155+1,$K155-$J155-1))*60,IF($I155=1,VALUE(LEFT($D155,$J155-1))*60,0))+IF($M155=0,VALUE($L155),VALUE(LEFT($L155,$M155-1))+VALUE(MID($L155,$M155+1,10))/10^(LEN($L155)-$M155))),""))</f>
      </c>
      <c r="F155" t="str" s="30" cm="1">
        <f t="array" ref="F155">IF($E155="","",MAX(0,$I$7-$E155))</f>
      </c>
      <c r="G155" t="str" s="30" cm="1">
        <f t="array" ref="G155">IF($E155="","",$F155*$D$7)</f>
      </c>
      <c r="H155" t="str" s="30" cm="1">
        <f t="array" ref="H155">IF($E155="","",$T155+IF(AND($V$6&gt;=$D$8,COUNT($E$11:$E155)=$V$7+1),$D$8,0))</f>
      </c>
      <c r="I155" t="str" s="30" cm="1">
        <f t="array" ref="I155">IF($D155="","",IF(ISTEXT($D155),LEN($D155)-LEN(SUBSTITUTE($D155,":","")),-1))</f>
      </c>
      <c r="J155" s="29" cm="1">
        <f t="array" ref="J155">_xlfn.IFERROR(FIND(":",$D155),0)</f>
        <v>0</v>
      </c>
      <c r="K155" s="29" cm="1">
        <f t="array" ref="K155">_xlfn.IFERROR(FIND(":",$D155,$J155+1),0)</f>
        <v>0</v>
      </c>
      <c r="L155" t="str" s="30" cm="1">
        <f t="array" ref="L155">IF($D155="","",IF($I155=2,MID($D155,$K155+1,10),IF($I155=1,MID($D155,$J155+1,10),IF($I155=0,$D155,""))))</f>
      </c>
      <c r="M155" s="29" cm="1">
        <f t="array" ref="M155">IF($L155="",0,_xlfn.IFERROR(FIND(".",SUBSTITUTE($L155,",",".")),0))</f>
        <v>0</v>
      </c>
      <c r="N155" s="29" cm="1">
        <f t="array" ref="N155">IF($E155="",10^9,$E155)</f>
        <v>1000000000</v>
      </c>
      <c r="O155" t="str" s="30" cm="1">
        <f t="array" ref="O155">IF($E155="","",SUM($E$11:$E155))</f>
      </c>
      <c r="P155" t="str" s="30" cm="1">
        <f t="array" ref="P155">IF($E155="","",($D$6/$D$7+$O155)/COUNT($E$11:$E155))</f>
      </c>
      <c r="Q155" s="29" cm="1">
        <f t="array" ref="Q155">IF($E155="",0,IF(AND($E155&lt;$P155,OR($E156="",$P155&lt;=$E156)),1,0))</f>
        <v>0</v>
      </c>
      <c r="R155" s="27" cm="1">
        <f t="array" ref="R155">IF($V$4=0,"",ROUND($V$4,1)-10+(155-11)*0.1)</f>
        <v>2527.5</v>
      </c>
      <c r="S155" s="28">
        <v>23000</v>
      </c>
      <c r="T155" t="str" s="30" cm="1">
        <f t="array" ref="T155">IF($E155="","",ROUND($G155/$D$8,0)*$D$8)</f>
      </c>
      <c r="U155" s="14"/>
      <c r="V155" s="8"/>
    </row>
    <row r="156" ht="13.55" customHeight="1">
      <c r="A156" t="str" s="30" cm="1">
        <f t="array" ref="A156">IF($E156="","",COUNT($E$11:$E156))</f>
      </c>
      <c r="B156" s="39"/>
      <c r="C156" s="39"/>
      <c r="D156" s="39"/>
      <c r="E156" t="str" s="30" cm="1">
        <f t="array" ref="E156">IF($D156="","",_xlfn.IFERROR(IF($I156=-1,IF($D156&lt;0.5,$D156*86400,IF($D156&lt;100,$D156*1440,$D156)),IF($I156=2,VALUE(LEFT($D156,$J156-1))*3600+VALUE(MID($D156,$J156+1,$K156-$J156-1))*60,IF($I156=1,VALUE(LEFT($D156,$J156-1))*60,0))+IF($M156=0,VALUE($L156),VALUE(LEFT($L156,$M156-1))+VALUE(MID($L156,$M156+1,10))/10^(LEN($L156)-$M156))),""))</f>
      </c>
      <c r="F156" t="str" s="30" cm="1">
        <f t="array" ref="F156">IF($E156="","",MAX(0,$I$7-$E156))</f>
      </c>
      <c r="G156" t="str" s="30" cm="1">
        <f t="array" ref="G156">IF($E156="","",$F156*$D$7)</f>
      </c>
      <c r="H156" t="str" s="30" cm="1">
        <f t="array" ref="H156">IF($E156="","",$T156+IF(AND($V$6&gt;=$D$8,COUNT($E$11:$E156)=$V$7+1),$D$8,0))</f>
      </c>
      <c r="I156" t="str" s="30" cm="1">
        <f t="array" ref="I156">IF($D156="","",IF(ISTEXT($D156),LEN($D156)-LEN(SUBSTITUTE($D156,":","")),-1))</f>
      </c>
      <c r="J156" s="29" cm="1">
        <f t="array" ref="J156">_xlfn.IFERROR(FIND(":",$D156),0)</f>
        <v>0</v>
      </c>
      <c r="K156" s="29" cm="1">
        <f t="array" ref="K156">_xlfn.IFERROR(FIND(":",$D156,$J156+1),0)</f>
        <v>0</v>
      </c>
      <c r="L156" t="str" s="30" cm="1">
        <f t="array" ref="L156">IF($D156="","",IF($I156=2,MID($D156,$K156+1,10),IF($I156=1,MID($D156,$J156+1,10),IF($I156=0,$D156,""))))</f>
      </c>
      <c r="M156" s="29" cm="1">
        <f t="array" ref="M156">IF($L156="",0,_xlfn.IFERROR(FIND(".",SUBSTITUTE($L156,",",".")),0))</f>
        <v>0</v>
      </c>
      <c r="N156" s="29" cm="1">
        <f t="array" ref="N156">IF($E156="",10^9,$E156)</f>
        <v>1000000000</v>
      </c>
      <c r="O156" t="str" s="30" cm="1">
        <f t="array" ref="O156">IF($E156="","",SUM($E$11:$E156))</f>
      </c>
      <c r="P156" t="str" s="30" cm="1">
        <f t="array" ref="P156">IF($E156="","",($D$6/$D$7+$O156)/COUNT($E$11:$E156))</f>
      </c>
      <c r="Q156" s="29" cm="1">
        <f t="array" ref="Q156">IF($E156="",0,IF(AND($E156&lt;$P156,OR($E157="",$P156&lt;=$E157)),1,0))</f>
        <v>0</v>
      </c>
      <c r="R156" s="27" cm="1">
        <f t="array" ref="R156">IF($V$4=0,"",ROUND($V$4,1)-10+(156-11)*0.1)</f>
        <v>2527.6</v>
      </c>
      <c r="S156" s="28">
        <v>23000</v>
      </c>
      <c r="T156" t="str" s="30" cm="1">
        <f t="array" ref="T156">IF($E156="","",ROUND($G156/$D$8,0)*$D$8)</f>
      </c>
      <c r="U156" s="14"/>
      <c r="V156" s="8"/>
    </row>
    <row r="157" ht="13.55" customHeight="1">
      <c r="A157" t="str" s="30" cm="1">
        <f t="array" ref="A157">IF($E157="","",COUNT($E$11:$E157))</f>
      </c>
      <c r="B157" s="39"/>
      <c r="C157" s="39"/>
      <c r="D157" s="39"/>
      <c r="E157" t="str" s="30" cm="1">
        <f t="array" ref="E157">IF($D157="","",_xlfn.IFERROR(IF($I157=-1,IF($D157&lt;0.5,$D157*86400,IF($D157&lt;100,$D157*1440,$D157)),IF($I157=2,VALUE(LEFT($D157,$J157-1))*3600+VALUE(MID($D157,$J157+1,$K157-$J157-1))*60,IF($I157=1,VALUE(LEFT($D157,$J157-1))*60,0))+IF($M157=0,VALUE($L157),VALUE(LEFT($L157,$M157-1))+VALUE(MID($L157,$M157+1,10))/10^(LEN($L157)-$M157))),""))</f>
      </c>
      <c r="F157" t="str" s="30" cm="1">
        <f t="array" ref="F157">IF($E157="","",MAX(0,$I$7-$E157))</f>
      </c>
      <c r="G157" t="str" s="30" cm="1">
        <f t="array" ref="G157">IF($E157="","",$F157*$D$7)</f>
      </c>
      <c r="H157" t="str" s="30" cm="1">
        <f t="array" ref="H157">IF($E157="","",$T157+IF(AND($V$6&gt;=$D$8,COUNT($E$11:$E157)=$V$7+1),$D$8,0))</f>
      </c>
      <c r="I157" t="str" s="30" cm="1">
        <f t="array" ref="I157">IF($D157="","",IF(ISTEXT($D157),LEN($D157)-LEN(SUBSTITUTE($D157,":","")),-1))</f>
      </c>
      <c r="J157" s="29" cm="1">
        <f t="array" ref="J157">_xlfn.IFERROR(FIND(":",$D157),0)</f>
        <v>0</v>
      </c>
      <c r="K157" s="29" cm="1">
        <f t="array" ref="K157">_xlfn.IFERROR(FIND(":",$D157,$J157+1),0)</f>
        <v>0</v>
      </c>
      <c r="L157" t="str" s="30" cm="1">
        <f t="array" ref="L157">IF($D157="","",IF($I157=2,MID($D157,$K157+1,10),IF($I157=1,MID($D157,$J157+1,10),IF($I157=0,$D157,""))))</f>
      </c>
      <c r="M157" s="29" cm="1">
        <f t="array" ref="M157">IF($L157="",0,_xlfn.IFERROR(FIND(".",SUBSTITUTE($L157,",",".")),0))</f>
        <v>0</v>
      </c>
      <c r="N157" s="29" cm="1">
        <f t="array" ref="N157">IF($E157="",10^9,$E157)</f>
        <v>1000000000</v>
      </c>
      <c r="O157" t="str" s="30" cm="1">
        <f t="array" ref="O157">IF($E157="","",SUM($E$11:$E157))</f>
      </c>
      <c r="P157" t="str" s="30" cm="1">
        <f t="array" ref="P157">IF($E157="","",($D$6/$D$7+$O157)/COUNT($E$11:$E157))</f>
      </c>
      <c r="Q157" s="29" cm="1">
        <f t="array" ref="Q157">IF($E157="",0,IF(AND($E157&lt;$P157,OR($E158="",$P157&lt;=$E158)),1,0))</f>
        <v>0</v>
      </c>
      <c r="R157" s="27" cm="1">
        <f t="array" ref="R157">IF($V$4=0,"",ROUND($V$4,1)-10+(157-11)*0.1)</f>
        <v>2527.7</v>
      </c>
      <c r="S157" s="28">
        <v>23000</v>
      </c>
      <c r="T157" t="str" s="30" cm="1">
        <f t="array" ref="T157">IF($E157="","",ROUND($G157/$D$8,0)*$D$8)</f>
      </c>
      <c r="U157" s="14"/>
      <c r="V157" s="8"/>
    </row>
    <row r="158" ht="13.55" customHeight="1">
      <c r="A158" t="str" s="30" cm="1">
        <f t="array" ref="A158">IF($E158="","",COUNT($E$11:$E158))</f>
      </c>
      <c r="B158" s="39"/>
      <c r="C158" s="39"/>
      <c r="D158" s="39"/>
      <c r="E158" t="str" s="30" cm="1">
        <f t="array" ref="E158">IF($D158="","",_xlfn.IFERROR(IF($I158=-1,IF($D158&lt;0.5,$D158*86400,IF($D158&lt;100,$D158*1440,$D158)),IF($I158=2,VALUE(LEFT($D158,$J158-1))*3600+VALUE(MID($D158,$J158+1,$K158-$J158-1))*60,IF($I158=1,VALUE(LEFT($D158,$J158-1))*60,0))+IF($M158=0,VALUE($L158),VALUE(LEFT($L158,$M158-1))+VALUE(MID($L158,$M158+1,10))/10^(LEN($L158)-$M158))),""))</f>
      </c>
      <c r="F158" t="str" s="30" cm="1">
        <f t="array" ref="F158">IF($E158="","",MAX(0,$I$7-$E158))</f>
      </c>
      <c r="G158" t="str" s="30" cm="1">
        <f t="array" ref="G158">IF($E158="","",$F158*$D$7)</f>
      </c>
      <c r="H158" t="str" s="30" cm="1">
        <f t="array" ref="H158">IF($E158="","",$T158+IF(AND($V$6&gt;=$D$8,COUNT($E$11:$E158)=$V$7+1),$D$8,0))</f>
      </c>
      <c r="I158" t="str" s="30" cm="1">
        <f t="array" ref="I158">IF($D158="","",IF(ISTEXT($D158),LEN($D158)-LEN(SUBSTITUTE($D158,":","")),-1))</f>
      </c>
      <c r="J158" s="29" cm="1">
        <f t="array" ref="J158">_xlfn.IFERROR(FIND(":",$D158),0)</f>
        <v>0</v>
      </c>
      <c r="K158" s="29" cm="1">
        <f t="array" ref="K158">_xlfn.IFERROR(FIND(":",$D158,$J158+1),0)</f>
        <v>0</v>
      </c>
      <c r="L158" t="str" s="30" cm="1">
        <f t="array" ref="L158">IF($D158="","",IF($I158=2,MID($D158,$K158+1,10),IF($I158=1,MID($D158,$J158+1,10),IF($I158=0,$D158,""))))</f>
      </c>
      <c r="M158" s="29" cm="1">
        <f t="array" ref="M158">IF($L158="",0,_xlfn.IFERROR(FIND(".",SUBSTITUTE($L158,",",".")),0))</f>
        <v>0</v>
      </c>
      <c r="N158" s="29" cm="1">
        <f t="array" ref="N158">IF($E158="",10^9,$E158)</f>
        <v>1000000000</v>
      </c>
      <c r="O158" t="str" s="30" cm="1">
        <f t="array" ref="O158">IF($E158="","",SUM($E$11:$E158))</f>
      </c>
      <c r="P158" t="str" s="30" cm="1">
        <f t="array" ref="P158">IF($E158="","",($D$6/$D$7+$O158)/COUNT($E$11:$E158))</f>
      </c>
      <c r="Q158" s="29" cm="1">
        <f t="array" ref="Q158">IF($E158="",0,IF(AND($E158&lt;$P158,OR($E159="",$P158&lt;=$E159)),1,0))</f>
        <v>0</v>
      </c>
      <c r="R158" s="27" cm="1">
        <f t="array" ref="R158">IF($V$4=0,"",ROUND($V$4,1)-10+(158-11)*0.1)</f>
        <v>2527.8</v>
      </c>
      <c r="S158" s="28">
        <v>23000</v>
      </c>
      <c r="T158" t="str" s="30" cm="1">
        <f t="array" ref="T158">IF($E158="","",ROUND($G158/$D$8,0)*$D$8)</f>
      </c>
      <c r="U158" s="14"/>
      <c r="V158" s="8"/>
    </row>
    <row r="159" ht="13.55" customHeight="1">
      <c r="A159" t="str" s="30" cm="1">
        <f t="array" ref="A159">IF($E159="","",COUNT($E$11:$E159))</f>
      </c>
      <c r="B159" s="39"/>
      <c r="C159" s="39"/>
      <c r="D159" s="39"/>
      <c r="E159" t="str" s="30" cm="1">
        <f t="array" ref="E159">IF($D159="","",_xlfn.IFERROR(IF($I159=-1,IF($D159&lt;0.5,$D159*86400,IF($D159&lt;100,$D159*1440,$D159)),IF($I159=2,VALUE(LEFT($D159,$J159-1))*3600+VALUE(MID($D159,$J159+1,$K159-$J159-1))*60,IF($I159=1,VALUE(LEFT($D159,$J159-1))*60,0))+IF($M159=0,VALUE($L159),VALUE(LEFT($L159,$M159-1))+VALUE(MID($L159,$M159+1,10))/10^(LEN($L159)-$M159))),""))</f>
      </c>
      <c r="F159" t="str" s="30" cm="1">
        <f t="array" ref="F159">IF($E159="","",MAX(0,$I$7-$E159))</f>
      </c>
      <c r="G159" t="str" s="30" cm="1">
        <f t="array" ref="G159">IF($E159="","",$F159*$D$7)</f>
      </c>
      <c r="H159" t="str" s="30" cm="1">
        <f t="array" ref="H159">IF($E159="","",$T159+IF(AND($V$6&gt;=$D$8,COUNT($E$11:$E159)=$V$7+1),$D$8,0))</f>
      </c>
      <c r="I159" t="str" s="30" cm="1">
        <f t="array" ref="I159">IF($D159="","",IF(ISTEXT($D159),LEN($D159)-LEN(SUBSTITUTE($D159,":","")),-1))</f>
      </c>
      <c r="J159" s="29" cm="1">
        <f t="array" ref="J159">_xlfn.IFERROR(FIND(":",$D159),0)</f>
        <v>0</v>
      </c>
      <c r="K159" s="29" cm="1">
        <f t="array" ref="K159">_xlfn.IFERROR(FIND(":",$D159,$J159+1),0)</f>
        <v>0</v>
      </c>
      <c r="L159" t="str" s="30" cm="1">
        <f t="array" ref="L159">IF($D159="","",IF($I159=2,MID($D159,$K159+1,10),IF($I159=1,MID($D159,$J159+1,10),IF($I159=0,$D159,""))))</f>
      </c>
      <c r="M159" s="29" cm="1">
        <f t="array" ref="M159">IF($L159="",0,_xlfn.IFERROR(FIND(".",SUBSTITUTE($L159,",",".")),0))</f>
        <v>0</v>
      </c>
      <c r="N159" s="29" cm="1">
        <f t="array" ref="N159">IF($E159="",10^9,$E159)</f>
        <v>1000000000</v>
      </c>
      <c r="O159" t="str" s="30" cm="1">
        <f t="array" ref="O159">IF($E159="","",SUM($E$11:$E159))</f>
      </c>
      <c r="P159" t="str" s="30" cm="1">
        <f t="array" ref="P159">IF($E159="","",($D$6/$D$7+$O159)/COUNT($E$11:$E159))</f>
      </c>
      <c r="Q159" s="29" cm="1">
        <f t="array" ref="Q159">IF($E159="",0,IF(AND($E159&lt;$P159,OR($E160="",$P159&lt;=$E160)),1,0))</f>
        <v>0</v>
      </c>
      <c r="R159" s="27" cm="1">
        <f t="array" ref="R159">IF($V$4=0,"",ROUND($V$4,1)-10+(159-11)*0.1)</f>
        <v>2527.9</v>
      </c>
      <c r="S159" s="28">
        <v>23000</v>
      </c>
      <c r="T159" t="str" s="30" cm="1">
        <f t="array" ref="T159">IF($E159="","",ROUND($G159/$D$8,0)*$D$8)</f>
      </c>
      <c r="U159" s="14"/>
      <c r="V159" s="8"/>
    </row>
    <row r="160" ht="13.55" customHeight="1">
      <c r="A160" t="str" s="30" cm="1">
        <f t="array" ref="A160">IF($E160="","",COUNT($E$11:$E160))</f>
      </c>
      <c r="B160" s="39"/>
      <c r="C160" s="39"/>
      <c r="D160" s="39"/>
      <c r="E160" t="str" s="30" cm="1">
        <f t="array" ref="E160">IF($D160="","",_xlfn.IFERROR(IF($I160=-1,IF($D160&lt;0.5,$D160*86400,IF($D160&lt;100,$D160*1440,$D160)),IF($I160=2,VALUE(LEFT($D160,$J160-1))*3600+VALUE(MID($D160,$J160+1,$K160-$J160-1))*60,IF($I160=1,VALUE(LEFT($D160,$J160-1))*60,0))+IF($M160=0,VALUE($L160),VALUE(LEFT($L160,$M160-1))+VALUE(MID($L160,$M160+1,10))/10^(LEN($L160)-$M160))),""))</f>
      </c>
      <c r="F160" t="str" s="30" cm="1">
        <f t="array" ref="F160">IF($E160="","",MAX(0,$I$7-$E160))</f>
      </c>
      <c r="G160" t="str" s="30" cm="1">
        <f t="array" ref="G160">IF($E160="","",$F160*$D$7)</f>
      </c>
      <c r="H160" t="str" s="30" cm="1">
        <f t="array" ref="H160">IF($E160="","",$T160+IF(AND($V$6&gt;=$D$8,COUNT($E$11:$E160)=$V$7+1),$D$8,0))</f>
      </c>
      <c r="I160" t="str" s="30" cm="1">
        <f t="array" ref="I160">IF($D160="","",IF(ISTEXT($D160),LEN($D160)-LEN(SUBSTITUTE($D160,":","")),-1))</f>
      </c>
      <c r="J160" s="29" cm="1">
        <f t="array" ref="J160">_xlfn.IFERROR(FIND(":",$D160),0)</f>
        <v>0</v>
      </c>
      <c r="K160" s="29" cm="1">
        <f t="array" ref="K160">_xlfn.IFERROR(FIND(":",$D160,$J160+1),0)</f>
        <v>0</v>
      </c>
      <c r="L160" t="str" s="30" cm="1">
        <f t="array" ref="L160">IF($D160="","",IF($I160=2,MID($D160,$K160+1,10),IF($I160=1,MID($D160,$J160+1,10),IF($I160=0,$D160,""))))</f>
      </c>
      <c r="M160" s="29" cm="1">
        <f t="array" ref="M160">IF($L160="",0,_xlfn.IFERROR(FIND(".",SUBSTITUTE($L160,",",".")),0))</f>
        <v>0</v>
      </c>
      <c r="N160" s="29" cm="1">
        <f t="array" ref="N160">IF($E160="",10^9,$E160)</f>
        <v>1000000000</v>
      </c>
      <c r="O160" t="str" s="30" cm="1">
        <f t="array" ref="O160">IF($E160="","",SUM($E$11:$E160))</f>
      </c>
      <c r="P160" t="str" s="30" cm="1">
        <f t="array" ref="P160">IF($E160="","",($D$6/$D$7+$O160)/COUNT($E$11:$E160))</f>
      </c>
      <c r="Q160" s="29" cm="1">
        <f t="array" ref="Q160">IF($E160="",0,IF(AND($E160&lt;$P160,OR($E161="",$P160&lt;=$E161)),1,0))</f>
        <v>0</v>
      </c>
      <c r="R160" s="27" cm="1">
        <f t="array" ref="R160">IF($V$4=0,"",ROUND($V$4,1)-10+(160-11)*0.1)</f>
        <v>2528</v>
      </c>
      <c r="S160" s="28">
        <v>23000</v>
      </c>
      <c r="T160" t="str" s="30" cm="1">
        <f t="array" ref="T160">IF($E160="","",ROUND($G160/$D$8,0)*$D$8)</f>
      </c>
      <c r="U160" s="14"/>
      <c r="V160" s="8"/>
    </row>
    <row r="161" ht="13.55" customHeight="1">
      <c r="A161" t="str" s="30" cm="1">
        <f t="array" ref="A161">IF($E161="","",COUNT($E$11:$E161))</f>
      </c>
      <c r="B161" s="39"/>
      <c r="C161" s="39"/>
      <c r="D161" s="39"/>
      <c r="E161" t="str" s="30" cm="1">
        <f t="array" ref="E161">IF($D161="","",_xlfn.IFERROR(IF($I161=-1,IF($D161&lt;0.5,$D161*86400,IF($D161&lt;100,$D161*1440,$D161)),IF($I161=2,VALUE(LEFT($D161,$J161-1))*3600+VALUE(MID($D161,$J161+1,$K161-$J161-1))*60,IF($I161=1,VALUE(LEFT($D161,$J161-1))*60,0))+IF($M161=0,VALUE($L161),VALUE(LEFT($L161,$M161-1))+VALUE(MID($L161,$M161+1,10))/10^(LEN($L161)-$M161))),""))</f>
      </c>
      <c r="F161" t="str" s="30" cm="1">
        <f t="array" ref="F161">IF($E161="","",MAX(0,$I$7-$E161))</f>
      </c>
      <c r="G161" t="str" s="30" cm="1">
        <f t="array" ref="G161">IF($E161="","",$F161*$D$7)</f>
      </c>
      <c r="H161" t="str" s="30" cm="1">
        <f t="array" ref="H161">IF($E161="","",$T161+IF(AND($V$6&gt;=$D$8,COUNT($E$11:$E161)=$V$7+1),$D$8,0))</f>
      </c>
      <c r="I161" t="str" s="30" cm="1">
        <f t="array" ref="I161">IF($D161="","",IF(ISTEXT($D161),LEN($D161)-LEN(SUBSTITUTE($D161,":","")),-1))</f>
      </c>
      <c r="J161" s="29" cm="1">
        <f t="array" ref="J161">_xlfn.IFERROR(FIND(":",$D161),0)</f>
        <v>0</v>
      </c>
      <c r="K161" s="29" cm="1">
        <f t="array" ref="K161">_xlfn.IFERROR(FIND(":",$D161,$J161+1),0)</f>
        <v>0</v>
      </c>
      <c r="L161" t="str" s="30" cm="1">
        <f t="array" ref="L161">IF($D161="","",IF($I161=2,MID($D161,$K161+1,10),IF($I161=1,MID($D161,$J161+1,10),IF($I161=0,$D161,""))))</f>
      </c>
      <c r="M161" s="29" cm="1">
        <f t="array" ref="M161">IF($L161="",0,_xlfn.IFERROR(FIND(".",SUBSTITUTE($L161,",",".")),0))</f>
        <v>0</v>
      </c>
      <c r="N161" s="29" cm="1">
        <f t="array" ref="N161">IF($E161="",10^9,$E161)</f>
        <v>1000000000</v>
      </c>
      <c r="O161" t="str" s="30" cm="1">
        <f t="array" ref="O161">IF($E161="","",SUM($E$11:$E161))</f>
      </c>
      <c r="P161" t="str" s="30" cm="1">
        <f t="array" ref="P161">IF($E161="","",($D$6/$D$7+$O161)/COUNT($E$11:$E161))</f>
      </c>
      <c r="Q161" s="29" cm="1">
        <f t="array" ref="Q161">IF($E161="",0,IF(AND($E161&lt;$P161,OR($E162="",$P161&lt;=$E162)),1,0))</f>
        <v>0</v>
      </c>
      <c r="R161" s="27" cm="1">
        <f t="array" ref="R161">IF($V$4=0,"",ROUND($V$4,1)-10+(161-11)*0.1)</f>
        <v>2528.1</v>
      </c>
      <c r="S161" s="28">
        <v>23000</v>
      </c>
      <c r="T161" t="str" s="30" cm="1">
        <f t="array" ref="T161">IF($E161="","",ROUND($G161/$D$8,0)*$D$8)</f>
      </c>
      <c r="U161" s="14"/>
      <c r="V161" s="8"/>
    </row>
    <row r="162" ht="13.55" customHeight="1">
      <c r="A162" t="str" s="30" cm="1">
        <f t="array" ref="A162">IF($E162="","",COUNT($E$11:$E162))</f>
      </c>
      <c r="B162" s="39"/>
      <c r="C162" s="39"/>
      <c r="D162" s="39"/>
      <c r="E162" t="str" s="30" cm="1">
        <f t="array" ref="E162">IF($D162="","",_xlfn.IFERROR(IF($I162=-1,IF($D162&lt;0.5,$D162*86400,IF($D162&lt;100,$D162*1440,$D162)),IF($I162=2,VALUE(LEFT($D162,$J162-1))*3600+VALUE(MID($D162,$J162+1,$K162-$J162-1))*60,IF($I162=1,VALUE(LEFT($D162,$J162-1))*60,0))+IF($M162=0,VALUE($L162),VALUE(LEFT($L162,$M162-1))+VALUE(MID($L162,$M162+1,10))/10^(LEN($L162)-$M162))),""))</f>
      </c>
      <c r="F162" t="str" s="30" cm="1">
        <f t="array" ref="F162">IF($E162="","",MAX(0,$I$7-$E162))</f>
      </c>
      <c r="G162" t="str" s="30" cm="1">
        <f t="array" ref="G162">IF($E162="","",$F162*$D$7)</f>
      </c>
      <c r="H162" t="str" s="30" cm="1">
        <f t="array" ref="H162">IF($E162="","",$T162+IF(AND($V$6&gt;=$D$8,COUNT($E$11:$E162)=$V$7+1),$D$8,0))</f>
      </c>
      <c r="I162" t="str" s="30" cm="1">
        <f t="array" ref="I162">IF($D162="","",IF(ISTEXT($D162),LEN($D162)-LEN(SUBSTITUTE($D162,":","")),-1))</f>
      </c>
      <c r="J162" s="29" cm="1">
        <f t="array" ref="J162">_xlfn.IFERROR(FIND(":",$D162),0)</f>
        <v>0</v>
      </c>
      <c r="K162" s="29" cm="1">
        <f t="array" ref="K162">_xlfn.IFERROR(FIND(":",$D162,$J162+1),0)</f>
        <v>0</v>
      </c>
      <c r="L162" t="str" s="30" cm="1">
        <f t="array" ref="L162">IF($D162="","",IF($I162=2,MID($D162,$K162+1,10),IF($I162=1,MID($D162,$J162+1,10),IF($I162=0,$D162,""))))</f>
      </c>
      <c r="M162" s="29" cm="1">
        <f t="array" ref="M162">IF($L162="",0,_xlfn.IFERROR(FIND(".",SUBSTITUTE($L162,",",".")),0))</f>
        <v>0</v>
      </c>
      <c r="N162" s="29" cm="1">
        <f t="array" ref="N162">IF($E162="",10^9,$E162)</f>
        <v>1000000000</v>
      </c>
      <c r="O162" t="str" s="30" cm="1">
        <f t="array" ref="O162">IF($E162="","",SUM($E$11:$E162))</f>
      </c>
      <c r="P162" t="str" s="30" cm="1">
        <f t="array" ref="P162">IF($E162="","",($D$6/$D$7+$O162)/COUNT($E$11:$E162))</f>
      </c>
      <c r="Q162" s="29" cm="1">
        <f t="array" ref="Q162">IF($E162="",0,IF(AND($E162&lt;$P162,OR($E163="",$P162&lt;=$E163)),1,0))</f>
        <v>0</v>
      </c>
      <c r="R162" s="27" cm="1">
        <f t="array" ref="R162">IF($V$4=0,"",ROUND($V$4,1)-10+(162-11)*0.1)</f>
        <v>2528.2</v>
      </c>
      <c r="S162" s="28">
        <v>23000</v>
      </c>
      <c r="T162" t="str" s="30" cm="1">
        <f t="array" ref="T162">IF($E162="","",ROUND($G162/$D$8,0)*$D$8)</f>
      </c>
      <c r="U162" s="14"/>
      <c r="V162" s="8"/>
    </row>
    <row r="163" ht="13.55" customHeight="1">
      <c r="A163" t="str" s="30" cm="1">
        <f t="array" ref="A163">IF($E163="","",COUNT($E$11:$E163))</f>
      </c>
      <c r="B163" s="39"/>
      <c r="C163" s="39"/>
      <c r="D163" s="39"/>
      <c r="E163" t="str" s="30" cm="1">
        <f t="array" ref="E163">IF($D163="","",_xlfn.IFERROR(IF($I163=-1,IF($D163&lt;0.5,$D163*86400,IF($D163&lt;100,$D163*1440,$D163)),IF($I163=2,VALUE(LEFT($D163,$J163-1))*3600+VALUE(MID($D163,$J163+1,$K163-$J163-1))*60,IF($I163=1,VALUE(LEFT($D163,$J163-1))*60,0))+IF($M163=0,VALUE($L163),VALUE(LEFT($L163,$M163-1))+VALUE(MID($L163,$M163+1,10))/10^(LEN($L163)-$M163))),""))</f>
      </c>
      <c r="F163" t="str" s="30" cm="1">
        <f t="array" ref="F163">IF($E163="","",MAX(0,$I$7-$E163))</f>
      </c>
      <c r="G163" t="str" s="30" cm="1">
        <f t="array" ref="G163">IF($E163="","",$F163*$D$7)</f>
      </c>
      <c r="H163" t="str" s="30" cm="1">
        <f t="array" ref="H163">IF($E163="","",$T163+IF(AND($V$6&gt;=$D$8,COUNT($E$11:$E163)=$V$7+1),$D$8,0))</f>
      </c>
      <c r="I163" t="str" s="30" cm="1">
        <f t="array" ref="I163">IF($D163="","",IF(ISTEXT($D163),LEN($D163)-LEN(SUBSTITUTE($D163,":","")),-1))</f>
      </c>
      <c r="J163" s="29" cm="1">
        <f t="array" ref="J163">_xlfn.IFERROR(FIND(":",$D163),0)</f>
        <v>0</v>
      </c>
      <c r="K163" s="29" cm="1">
        <f t="array" ref="K163">_xlfn.IFERROR(FIND(":",$D163,$J163+1),0)</f>
        <v>0</v>
      </c>
      <c r="L163" t="str" s="30" cm="1">
        <f t="array" ref="L163">IF($D163="","",IF($I163=2,MID($D163,$K163+1,10),IF($I163=1,MID($D163,$J163+1,10),IF($I163=0,$D163,""))))</f>
      </c>
      <c r="M163" s="29" cm="1">
        <f t="array" ref="M163">IF($L163="",0,_xlfn.IFERROR(FIND(".",SUBSTITUTE($L163,",",".")),0))</f>
        <v>0</v>
      </c>
      <c r="N163" s="29" cm="1">
        <f t="array" ref="N163">IF($E163="",10^9,$E163)</f>
        <v>1000000000</v>
      </c>
      <c r="O163" t="str" s="30" cm="1">
        <f t="array" ref="O163">IF($E163="","",SUM($E$11:$E163))</f>
      </c>
      <c r="P163" t="str" s="30" cm="1">
        <f t="array" ref="P163">IF($E163="","",($D$6/$D$7+$O163)/COUNT($E$11:$E163))</f>
      </c>
      <c r="Q163" s="29" cm="1">
        <f t="array" ref="Q163">IF($E163="",0,IF(AND($E163&lt;$P163,OR($E164="",$P163&lt;=$E164)),1,0))</f>
        <v>0</v>
      </c>
      <c r="R163" s="27" cm="1">
        <f t="array" ref="R163">IF($V$4=0,"",ROUND($V$4,1)-10+(163-11)*0.1)</f>
        <v>2528.3</v>
      </c>
      <c r="S163" s="28">
        <v>23000</v>
      </c>
      <c r="T163" t="str" s="30" cm="1">
        <f t="array" ref="T163">IF($E163="","",ROUND($G163/$D$8,0)*$D$8)</f>
      </c>
      <c r="U163" s="14"/>
      <c r="V163" s="8"/>
    </row>
    <row r="164" ht="13.55" customHeight="1">
      <c r="A164" t="str" s="30" cm="1">
        <f t="array" ref="A164">IF($E164="","",COUNT($E$11:$E164))</f>
      </c>
      <c r="B164" s="39"/>
      <c r="C164" s="39"/>
      <c r="D164" s="39"/>
      <c r="E164" t="str" s="30" cm="1">
        <f t="array" ref="E164">IF($D164="","",_xlfn.IFERROR(IF($I164=-1,IF($D164&lt;0.5,$D164*86400,IF($D164&lt;100,$D164*1440,$D164)),IF($I164=2,VALUE(LEFT($D164,$J164-1))*3600+VALUE(MID($D164,$J164+1,$K164-$J164-1))*60,IF($I164=1,VALUE(LEFT($D164,$J164-1))*60,0))+IF($M164=0,VALUE($L164),VALUE(LEFT($L164,$M164-1))+VALUE(MID($L164,$M164+1,10))/10^(LEN($L164)-$M164))),""))</f>
      </c>
      <c r="F164" t="str" s="30" cm="1">
        <f t="array" ref="F164">IF($E164="","",MAX(0,$I$7-$E164))</f>
      </c>
      <c r="G164" t="str" s="30" cm="1">
        <f t="array" ref="G164">IF($E164="","",$F164*$D$7)</f>
      </c>
      <c r="H164" t="str" s="30" cm="1">
        <f t="array" ref="H164">IF($E164="","",$T164+IF(AND($V$6&gt;=$D$8,COUNT($E$11:$E164)=$V$7+1),$D$8,0))</f>
      </c>
      <c r="I164" t="str" s="30" cm="1">
        <f t="array" ref="I164">IF($D164="","",IF(ISTEXT($D164),LEN($D164)-LEN(SUBSTITUTE($D164,":","")),-1))</f>
      </c>
      <c r="J164" s="29" cm="1">
        <f t="array" ref="J164">_xlfn.IFERROR(FIND(":",$D164),0)</f>
        <v>0</v>
      </c>
      <c r="K164" s="29" cm="1">
        <f t="array" ref="K164">_xlfn.IFERROR(FIND(":",$D164,$J164+1),0)</f>
        <v>0</v>
      </c>
      <c r="L164" t="str" s="30" cm="1">
        <f t="array" ref="L164">IF($D164="","",IF($I164=2,MID($D164,$K164+1,10),IF($I164=1,MID($D164,$J164+1,10),IF($I164=0,$D164,""))))</f>
      </c>
      <c r="M164" s="29" cm="1">
        <f t="array" ref="M164">IF($L164="",0,_xlfn.IFERROR(FIND(".",SUBSTITUTE($L164,",",".")),0))</f>
        <v>0</v>
      </c>
      <c r="N164" s="29" cm="1">
        <f t="array" ref="N164">IF($E164="",10^9,$E164)</f>
        <v>1000000000</v>
      </c>
      <c r="O164" t="str" s="30" cm="1">
        <f t="array" ref="O164">IF($E164="","",SUM($E$11:$E164))</f>
      </c>
      <c r="P164" t="str" s="30" cm="1">
        <f t="array" ref="P164">IF($E164="","",($D$6/$D$7+$O164)/COUNT($E$11:$E164))</f>
      </c>
      <c r="Q164" s="29" cm="1">
        <f t="array" ref="Q164">IF($E164="",0,IF(AND($E164&lt;$P164,OR($E165="",$P164&lt;=$E165)),1,0))</f>
        <v>0</v>
      </c>
      <c r="R164" s="27" cm="1">
        <f t="array" ref="R164">IF($V$4=0,"",ROUND($V$4,1)-10+(164-11)*0.1)</f>
        <v>2528.4</v>
      </c>
      <c r="S164" s="28">
        <v>23000</v>
      </c>
      <c r="T164" t="str" s="30" cm="1">
        <f t="array" ref="T164">IF($E164="","",ROUND($G164/$D$8,0)*$D$8)</f>
      </c>
      <c r="U164" s="14"/>
      <c r="V164" s="8"/>
    </row>
    <row r="165" ht="13.55" customHeight="1">
      <c r="A165" t="str" s="30" cm="1">
        <f t="array" ref="A165">IF($E165="","",COUNT($E$11:$E165))</f>
      </c>
      <c r="B165" s="39"/>
      <c r="C165" s="39"/>
      <c r="D165" s="39"/>
      <c r="E165" t="str" s="30" cm="1">
        <f t="array" ref="E165">IF($D165="","",_xlfn.IFERROR(IF($I165=-1,IF($D165&lt;0.5,$D165*86400,IF($D165&lt;100,$D165*1440,$D165)),IF($I165=2,VALUE(LEFT($D165,$J165-1))*3600+VALUE(MID($D165,$J165+1,$K165-$J165-1))*60,IF($I165=1,VALUE(LEFT($D165,$J165-1))*60,0))+IF($M165=0,VALUE($L165),VALUE(LEFT($L165,$M165-1))+VALUE(MID($L165,$M165+1,10))/10^(LEN($L165)-$M165))),""))</f>
      </c>
      <c r="F165" t="str" s="30" cm="1">
        <f t="array" ref="F165">IF($E165="","",MAX(0,$I$7-$E165))</f>
      </c>
      <c r="G165" t="str" s="30" cm="1">
        <f t="array" ref="G165">IF($E165="","",$F165*$D$7)</f>
      </c>
      <c r="H165" t="str" s="30" cm="1">
        <f t="array" ref="H165">IF($E165="","",$T165+IF(AND($V$6&gt;=$D$8,COUNT($E$11:$E165)=$V$7+1),$D$8,0))</f>
      </c>
      <c r="I165" t="str" s="30" cm="1">
        <f t="array" ref="I165">IF($D165="","",IF(ISTEXT($D165),LEN($D165)-LEN(SUBSTITUTE($D165,":","")),-1))</f>
      </c>
      <c r="J165" s="29" cm="1">
        <f t="array" ref="J165">_xlfn.IFERROR(FIND(":",$D165),0)</f>
        <v>0</v>
      </c>
      <c r="K165" s="29" cm="1">
        <f t="array" ref="K165">_xlfn.IFERROR(FIND(":",$D165,$J165+1),0)</f>
        <v>0</v>
      </c>
      <c r="L165" t="str" s="30" cm="1">
        <f t="array" ref="L165">IF($D165="","",IF($I165=2,MID($D165,$K165+1,10),IF($I165=1,MID($D165,$J165+1,10),IF($I165=0,$D165,""))))</f>
      </c>
      <c r="M165" s="29" cm="1">
        <f t="array" ref="M165">IF($L165="",0,_xlfn.IFERROR(FIND(".",SUBSTITUTE($L165,",",".")),0))</f>
        <v>0</v>
      </c>
      <c r="N165" s="29" cm="1">
        <f t="array" ref="N165">IF($E165="",10^9,$E165)</f>
        <v>1000000000</v>
      </c>
      <c r="O165" t="str" s="30" cm="1">
        <f t="array" ref="O165">IF($E165="","",SUM($E$11:$E165))</f>
      </c>
      <c r="P165" t="str" s="30" cm="1">
        <f t="array" ref="P165">IF($E165="","",($D$6/$D$7+$O165)/COUNT($E$11:$E165))</f>
      </c>
      <c r="Q165" s="29" cm="1">
        <f t="array" ref="Q165">IF($E165="",0,IF(AND($E165&lt;$P165,OR($E166="",$P165&lt;=$E166)),1,0))</f>
        <v>0</v>
      </c>
      <c r="R165" s="27" cm="1">
        <f t="array" ref="R165">IF($V$4=0,"",ROUND($V$4,1)-10+(165-11)*0.1)</f>
        <v>2528.5</v>
      </c>
      <c r="S165" s="28">
        <v>23000</v>
      </c>
      <c r="T165" t="str" s="30" cm="1">
        <f t="array" ref="T165">IF($E165="","",ROUND($G165/$D$8,0)*$D$8)</f>
      </c>
      <c r="U165" s="14"/>
      <c r="V165" s="8"/>
    </row>
    <row r="166" ht="13.55" customHeight="1">
      <c r="A166" t="str" s="30" cm="1">
        <f t="array" ref="A166">IF($E166="","",COUNT($E$11:$E166))</f>
      </c>
      <c r="B166" s="39"/>
      <c r="C166" s="39"/>
      <c r="D166" s="39"/>
      <c r="E166" t="str" s="30" cm="1">
        <f t="array" ref="E166">IF($D166="","",_xlfn.IFERROR(IF($I166=-1,IF($D166&lt;0.5,$D166*86400,IF($D166&lt;100,$D166*1440,$D166)),IF($I166=2,VALUE(LEFT($D166,$J166-1))*3600+VALUE(MID($D166,$J166+1,$K166-$J166-1))*60,IF($I166=1,VALUE(LEFT($D166,$J166-1))*60,0))+IF($M166=0,VALUE($L166),VALUE(LEFT($L166,$M166-1))+VALUE(MID($L166,$M166+1,10))/10^(LEN($L166)-$M166))),""))</f>
      </c>
      <c r="F166" t="str" s="30" cm="1">
        <f t="array" ref="F166">IF($E166="","",MAX(0,$I$7-$E166))</f>
      </c>
      <c r="G166" t="str" s="30" cm="1">
        <f t="array" ref="G166">IF($E166="","",$F166*$D$7)</f>
      </c>
      <c r="H166" t="str" s="30" cm="1">
        <f t="array" ref="H166">IF($E166="","",$T166+IF(AND($V$6&gt;=$D$8,COUNT($E$11:$E166)=$V$7+1),$D$8,0))</f>
      </c>
      <c r="I166" t="str" s="30" cm="1">
        <f t="array" ref="I166">IF($D166="","",IF(ISTEXT($D166),LEN($D166)-LEN(SUBSTITUTE($D166,":","")),-1))</f>
      </c>
      <c r="J166" s="29" cm="1">
        <f t="array" ref="J166">_xlfn.IFERROR(FIND(":",$D166),0)</f>
        <v>0</v>
      </c>
      <c r="K166" s="29" cm="1">
        <f t="array" ref="K166">_xlfn.IFERROR(FIND(":",$D166,$J166+1),0)</f>
        <v>0</v>
      </c>
      <c r="L166" t="str" s="30" cm="1">
        <f t="array" ref="L166">IF($D166="","",IF($I166=2,MID($D166,$K166+1,10),IF($I166=1,MID($D166,$J166+1,10),IF($I166=0,$D166,""))))</f>
      </c>
      <c r="M166" s="29" cm="1">
        <f t="array" ref="M166">IF($L166="",0,_xlfn.IFERROR(FIND(".",SUBSTITUTE($L166,",",".")),0))</f>
        <v>0</v>
      </c>
      <c r="N166" s="29" cm="1">
        <f t="array" ref="N166">IF($E166="",10^9,$E166)</f>
        <v>1000000000</v>
      </c>
      <c r="O166" t="str" s="30" cm="1">
        <f t="array" ref="O166">IF($E166="","",SUM($E$11:$E166))</f>
      </c>
      <c r="P166" t="str" s="30" cm="1">
        <f t="array" ref="P166">IF($E166="","",($D$6/$D$7+$O166)/COUNT($E$11:$E166))</f>
      </c>
      <c r="Q166" s="29" cm="1">
        <f t="array" ref="Q166">IF($E166="",0,IF(AND($E166&lt;$P166,OR($E167="",$P166&lt;=$E167)),1,0))</f>
        <v>0</v>
      </c>
      <c r="R166" s="27" cm="1">
        <f t="array" ref="R166">IF($V$4=0,"",ROUND($V$4,1)-10+(166-11)*0.1)</f>
        <v>2528.6</v>
      </c>
      <c r="S166" s="28">
        <v>23000</v>
      </c>
      <c r="T166" t="str" s="30" cm="1">
        <f t="array" ref="T166">IF($E166="","",ROUND($G166/$D$8,0)*$D$8)</f>
      </c>
      <c r="U166" s="14"/>
      <c r="V166" s="8"/>
    </row>
    <row r="167" ht="13.55" customHeight="1">
      <c r="A167" t="str" s="30" cm="1">
        <f t="array" ref="A167">IF($E167="","",COUNT($E$11:$E167))</f>
      </c>
      <c r="B167" s="39"/>
      <c r="C167" s="39"/>
      <c r="D167" s="39"/>
      <c r="E167" t="str" s="30" cm="1">
        <f t="array" ref="E167">IF($D167="","",_xlfn.IFERROR(IF($I167=-1,IF($D167&lt;0.5,$D167*86400,IF($D167&lt;100,$D167*1440,$D167)),IF($I167=2,VALUE(LEFT($D167,$J167-1))*3600+VALUE(MID($D167,$J167+1,$K167-$J167-1))*60,IF($I167=1,VALUE(LEFT($D167,$J167-1))*60,0))+IF($M167=0,VALUE($L167),VALUE(LEFT($L167,$M167-1))+VALUE(MID($L167,$M167+1,10))/10^(LEN($L167)-$M167))),""))</f>
      </c>
      <c r="F167" t="str" s="30" cm="1">
        <f t="array" ref="F167">IF($E167="","",MAX(0,$I$7-$E167))</f>
      </c>
      <c r="G167" t="str" s="30" cm="1">
        <f t="array" ref="G167">IF($E167="","",$F167*$D$7)</f>
      </c>
      <c r="H167" t="str" s="30" cm="1">
        <f t="array" ref="H167">IF($E167="","",$T167+IF(AND($V$6&gt;=$D$8,COUNT($E$11:$E167)=$V$7+1),$D$8,0))</f>
      </c>
      <c r="I167" t="str" s="30" cm="1">
        <f t="array" ref="I167">IF($D167="","",IF(ISTEXT($D167),LEN($D167)-LEN(SUBSTITUTE($D167,":","")),-1))</f>
      </c>
      <c r="J167" s="29" cm="1">
        <f t="array" ref="J167">_xlfn.IFERROR(FIND(":",$D167),0)</f>
        <v>0</v>
      </c>
      <c r="K167" s="29" cm="1">
        <f t="array" ref="K167">_xlfn.IFERROR(FIND(":",$D167,$J167+1),0)</f>
        <v>0</v>
      </c>
      <c r="L167" t="str" s="30" cm="1">
        <f t="array" ref="L167">IF($D167="","",IF($I167=2,MID($D167,$K167+1,10),IF($I167=1,MID($D167,$J167+1,10),IF($I167=0,$D167,""))))</f>
      </c>
      <c r="M167" s="29" cm="1">
        <f t="array" ref="M167">IF($L167="",0,_xlfn.IFERROR(FIND(".",SUBSTITUTE($L167,",",".")),0))</f>
        <v>0</v>
      </c>
      <c r="N167" s="29" cm="1">
        <f t="array" ref="N167">IF($E167="",10^9,$E167)</f>
        <v>1000000000</v>
      </c>
      <c r="O167" t="str" s="30" cm="1">
        <f t="array" ref="O167">IF($E167="","",SUM($E$11:$E167))</f>
      </c>
      <c r="P167" t="str" s="30" cm="1">
        <f t="array" ref="P167">IF($E167="","",($D$6/$D$7+$O167)/COUNT($E$11:$E167))</f>
      </c>
      <c r="Q167" s="29" cm="1">
        <f t="array" ref="Q167">IF($E167="",0,IF(AND($E167&lt;$P167,OR($E168="",$P167&lt;=$E168)),1,0))</f>
        <v>0</v>
      </c>
      <c r="R167" s="27" cm="1">
        <f t="array" ref="R167">IF($V$4=0,"",ROUND($V$4,1)-10+(167-11)*0.1)</f>
        <v>2528.7</v>
      </c>
      <c r="S167" s="28">
        <v>23000</v>
      </c>
      <c r="T167" t="str" s="30" cm="1">
        <f t="array" ref="T167">IF($E167="","",ROUND($G167/$D$8,0)*$D$8)</f>
      </c>
      <c r="U167" s="14"/>
      <c r="V167" s="8"/>
    </row>
    <row r="168" ht="13.55" customHeight="1">
      <c r="A168" t="str" s="30" cm="1">
        <f t="array" ref="A168">IF($E168="","",COUNT($E$11:$E168))</f>
      </c>
      <c r="B168" s="39"/>
      <c r="C168" s="39"/>
      <c r="D168" s="39"/>
      <c r="E168" t="str" s="30" cm="1">
        <f t="array" ref="E168">IF($D168="","",_xlfn.IFERROR(IF($I168=-1,IF($D168&lt;0.5,$D168*86400,IF($D168&lt;100,$D168*1440,$D168)),IF($I168=2,VALUE(LEFT($D168,$J168-1))*3600+VALUE(MID($D168,$J168+1,$K168-$J168-1))*60,IF($I168=1,VALUE(LEFT($D168,$J168-1))*60,0))+IF($M168=0,VALUE($L168),VALUE(LEFT($L168,$M168-1))+VALUE(MID($L168,$M168+1,10))/10^(LEN($L168)-$M168))),""))</f>
      </c>
      <c r="F168" t="str" s="30" cm="1">
        <f t="array" ref="F168">IF($E168="","",MAX(0,$I$7-$E168))</f>
      </c>
      <c r="G168" t="str" s="30" cm="1">
        <f t="array" ref="G168">IF($E168="","",$F168*$D$7)</f>
      </c>
      <c r="H168" t="str" s="30" cm="1">
        <f t="array" ref="H168">IF($E168="","",$T168+IF(AND($V$6&gt;=$D$8,COUNT($E$11:$E168)=$V$7+1),$D$8,0))</f>
      </c>
      <c r="I168" t="str" s="30" cm="1">
        <f t="array" ref="I168">IF($D168="","",IF(ISTEXT($D168),LEN($D168)-LEN(SUBSTITUTE($D168,":","")),-1))</f>
      </c>
      <c r="J168" s="29" cm="1">
        <f t="array" ref="J168">_xlfn.IFERROR(FIND(":",$D168),0)</f>
        <v>0</v>
      </c>
      <c r="K168" s="29" cm="1">
        <f t="array" ref="K168">_xlfn.IFERROR(FIND(":",$D168,$J168+1),0)</f>
        <v>0</v>
      </c>
      <c r="L168" t="str" s="30" cm="1">
        <f t="array" ref="L168">IF($D168="","",IF($I168=2,MID($D168,$K168+1,10),IF($I168=1,MID($D168,$J168+1,10),IF($I168=0,$D168,""))))</f>
      </c>
      <c r="M168" s="29" cm="1">
        <f t="array" ref="M168">IF($L168="",0,_xlfn.IFERROR(FIND(".",SUBSTITUTE($L168,",",".")),0))</f>
        <v>0</v>
      </c>
      <c r="N168" s="29" cm="1">
        <f t="array" ref="N168">IF($E168="",10^9,$E168)</f>
        <v>1000000000</v>
      </c>
      <c r="O168" t="str" s="30" cm="1">
        <f t="array" ref="O168">IF($E168="","",SUM($E$11:$E168))</f>
      </c>
      <c r="P168" t="str" s="30" cm="1">
        <f t="array" ref="P168">IF($E168="","",($D$6/$D$7+$O168)/COUNT($E$11:$E168))</f>
      </c>
      <c r="Q168" s="29" cm="1">
        <f t="array" ref="Q168">IF($E168="",0,IF(AND($E168&lt;$P168,OR($E169="",$P168&lt;=$E169)),1,0))</f>
        <v>0</v>
      </c>
      <c r="R168" s="27" cm="1">
        <f t="array" ref="R168">IF($V$4=0,"",ROUND($V$4,1)-10+(168-11)*0.1)</f>
        <v>2528.8</v>
      </c>
      <c r="S168" s="28">
        <v>23000</v>
      </c>
      <c r="T168" t="str" s="30" cm="1">
        <f t="array" ref="T168">IF($E168="","",ROUND($G168/$D$8,0)*$D$8)</f>
      </c>
      <c r="U168" s="14"/>
      <c r="V168" s="8"/>
    </row>
    <row r="169" ht="13.55" customHeight="1">
      <c r="A169" t="str" s="30" cm="1">
        <f t="array" ref="A169">IF($E169="","",COUNT($E$11:$E169))</f>
      </c>
      <c r="B169" s="39"/>
      <c r="C169" s="39"/>
      <c r="D169" s="39"/>
      <c r="E169" t="str" s="30" cm="1">
        <f t="array" ref="E169">IF($D169="","",_xlfn.IFERROR(IF($I169=-1,IF($D169&lt;0.5,$D169*86400,IF($D169&lt;100,$D169*1440,$D169)),IF($I169=2,VALUE(LEFT($D169,$J169-1))*3600+VALUE(MID($D169,$J169+1,$K169-$J169-1))*60,IF($I169=1,VALUE(LEFT($D169,$J169-1))*60,0))+IF($M169=0,VALUE($L169),VALUE(LEFT($L169,$M169-1))+VALUE(MID($L169,$M169+1,10))/10^(LEN($L169)-$M169))),""))</f>
      </c>
      <c r="F169" t="str" s="30" cm="1">
        <f t="array" ref="F169">IF($E169="","",MAX(0,$I$7-$E169))</f>
      </c>
      <c r="G169" t="str" s="30" cm="1">
        <f t="array" ref="G169">IF($E169="","",$F169*$D$7)</f>
      </c>
      <c r="H169" t="str" s="30" cm="1">
        <f t="array" ref="H169">IF($E169="","",$T169+IF(AND($V$6&gt;=$D$8,COUNT($E$11:$E169)=$V$7+1),$D$8,0))</f>
      </c>
      <c r="I169" t="str" s="30" cm="1">
        <f t="array" ref="I169">IF($D169="","",IF(ISTEXT($D169),LEN($D169)-LEN(SUBSTITUTE($D169,":","")),-1))</f>
      </c>
      <c r="J169" s="29" cm="1">
        <f t="array" ref="J169">_xlfn.IFERROR(FIND(":",$D169),0)</f>
        <v>0</v>
      </c>
      <c r="K169" s="29" cm="1">
        <f t="array" ref="K169">_xlfn.IFERROR(FIND(":",$D169,$J169+1),0)</f>
        <v>0</v>
      </c>
      <c r="L169" t="str" s="30" cm="1">
        <f t="array" ref="L169">IF($D169="","",IF($I169=2,MID($D169,$K169+1,10),IF($I169=1,MID($D169,$J169+1,10),IF($I169=0,$D169,""))))</f>
      </c>
      <c r="M169" s="29" cm="1">
        <f t="array" ref="M169">IF($L169="",0,_xlfn.IFERROR(FIND(".",SUBSTITUTE($L169,",",".")),0))</f>
        <v>0</v>
      </c>
      <c r="N169" s="29" cm="1">
        <f t="array" ref="N169">IF($E169="",10^9,$E169)</f>
        <v>1000000000</v>
      </c>
      <c r="O169" t="str" s="30" cm="1">
        <f t="array" ref="O169">IF($E169="","",SUM($E$11:$E169))</f>
      </c>
      <c r="P169" t="str" s="30" cm="1">
        <f t="array" ref="P169">IF($E169="","",($D$6/$D$7+$O169)/COUNT($E$11:$E169))</f>
      </c>
      <c r="Q169" s="29" cm="1">
        <f t="array" ref="Q169">IF($E169="",0,IF(AND($E169&lt;$P169,OR($E170="",$P169&lt;=$E170)),1,0))</f>
        <v>0</v>
      </c>
      <c r="R169" s="27" cm="1">
        <f t="array" ref="R169">IF($V$4=0,"",ROUND($V$4,1)-10+(169-11)*0.1)</f>
        <v>2528.9</v>
      </c>
      <c r="S169" s="28">
        <v>23000</v>
      </c>
      <c r="T169" t="str" s="30" cm="1">
        <f t="array" ref="T169">IF($E169="","",ROUND($G169/$D$8,0)*$D$8)</f>
      </c>
      <c r="U169" s="14"/>
      <c r="V169" s="8"/>
    </row>
    <row r="170" ht="13.55" customHeight="1">
      <c r="A170" t="str" s="30" cm="1">
        <f t="array" ref="A170">IF($E170="","",COUNT($E$11:$E170))</f>
      </c>
      <c r="B170" s="39"/>
      <c r="C170" s="39"/>
      <c r="D170" s="39"/>
      <c r="E170" t="str" s="30" cm="1">
        <f t="array" ref="E170">IF($D170="","",_xlfn.IFERROR(IF($I170=-1,IF($D170&lt;0.5,$D170*86400,IF($D170&lt;100,$D170*1440,$D170)),IF($I170=2,VALUE(LEFT($D170,$J170-1))*3600+VALUE(MID($D170,$J170+1,$K170-$J170-1))*60,IF($I170=1,VALUE(LEFT($D170,$J170-1))*60,0))+IF($M170=0,VALUE($L170),VALUE(LEFT($L170,$M170-1))+VALUE(MID($L170,$M170+1,10))/10^(LEN($L170)-$M170))),""))</f>
      </c>
      <c r="F170" t="str" s="30" cm="1">
        <f t="array" ref="F170">IF($E170="","",MAX(0,$I$7-$E170))</f>
      </c>
      <c r="G170" t="str" s="30" cm="1">
        <f t="array" ref="G170">IF($E170="","",$F170*$D$7)</f>
      </c>
      <c r="H170" t="str" s="30" cm="1">
        <f t="array" ref="H170">IF($E170="","",$T170+IF(AND($V$6&gt;=$D$8,COUNT($E$11:$E170)=$V$7+1),$D$8,0))</f>
      </c>
      <c r="I170" t="str" s="30" cm="1">
        <f t="array" ref="I170">IF($D170="","",IF(ISTEXT($D170),LEN($D170)-LEN(SUBSTITUTE($D170,":","")),-1))</f>
      </c>
      <c r="J170" s="29" cm="1">
        <f t="array" ref="J170">_xlfn.IFERROR(FIND(":",$D170),0)</f>
        <v>0</v>
      </c>
      <c r="K170" s="29" cm="1">
        <f t="array" ref="K170">_xlfn.IFERROR(FIND(":",$D170,$J170+1),0)</f>
        <v>0</v>
      </c>
      <c r="L170" t="str" s="30" cm="1">
        <f t="array" ref="L170">IF($D170="","",IF($I170=2,MID($D170,$K170+1,10),IF($I170=1,MID($D170,$J170+1,10),IF($I170=0,$D170,""))))</f>
      </c>
      <c r="M170" s="29" cm="1">
        <f t="array" ref="M170">IF($L170="",0,_xlfn.IFERROR(FIND(".",SUBSTITUTE($L170,",",".")),0))</f>
        <v>0</v>
      </c>
      <c r="N170" s="29" cm="1">
        <f t="array" ref="N170">IF($E170="",10^9,$E170)</f>
        <v>1000000000</v>
      </c>
      <c r="O170" t="str" s="30" cm="1">
        <f t="array" ref="O170">IF($E170="","",SUM($E$11:$E170))</f>
      </c>
      <c r="P170" t="str" s="30" cm="1">
        <f t="array" ref="P170">IF($E170="","",($D$6/$D$7+$O170)/COUNT($E$11:$E170))</f>
      </c>
      <c r="Q170" s="29" cm="1">
        <f t="array" ref="Q170">IF($E170="",0,IF(AND($E170&lt;$P170,OR($E171="",$P170&lt;=$E171)),1,0))</f>
        <v>0</v>
      </c>
      <c r="R170" s="27" cm="1">
        <f t="array" ref="R170">IF($V$4=0,"",ROUND($V$4,1)-10+(170-11)*0.1)</f>
        <v>2529</v>
      </c>
      <c r="S170" s="28">
        <v>23000</v>
      </c>
      <c r="T170" t="str" s="30" cm="1">
        <f t="array" ref="T170">IF($E170="","",ROUND($G170/$D$8,0)*$D$8)</f>
      </c>
      <c r="U170" s="14"/>
      <c r="V170" s="8"/>
    </row>
    <row r="171" ht="13.55" customHeight="1">
      <c r="A171" t="str" s="30" cm="1">
        <f t="array" ref="A171">IF($E171="","",COUNT($E$11:$E171))</f>
      </c>
      <c r="B171" s="39"/>
      <c r="C171" s="39"/>
      <c r="D171" s="39"/>
      <c r="E171" t="str" s="30" cm="1">
        <f t="array" ref="E171">IF($D171="","",_xlfn.IFERROR(IF($I171=-1,IF($D171&lt;0.5,$D171*86400,IF($D171&lt;100,$D171*1440,$D171)),IF($I171=2,VALUE(LEFT($D171,$J171-1))*3600+VALUE(MID($D171,$J171+1,$K171-$J171-1))*60,IF($I171=1,VALUE(LEFT($D171,$J171-1))*60,0))+IF($M171=0,VALUE($L171),VALUE(LEFT($L171,$M171-1))+VALUE(MID($L171,$M171+1,10))/10^(LEN($L171)-$M171))),""))</f>
      </c>
      <c r="F171" t="str" s="30" cm="1">
        <f t="array" ref="F171">IF($E171="","",MAX(0,$I$7-$E171))</f>
      </c>
      <c r="G171" t="str" s="30" cm="1">
        <f t="array" ref="G171">IF($E171="","",$F171*$D$7)</f>
      </c>
      <c r="H171" t="str" s="30" cm="1">
        <f t="array" ref="H171">IF($E171="","",$T171+IF(AND($V$6&gt;=$D$8,COUNT($E$11:$E171)=$V$7+1),$D$8,0))</f>
      </c>
      <c r="I171" t="str" s="30" cm="1">
        <f t="array" ref="I171">IF($D171="","",IF(ISTEXT($D171),LEN($D171)-LEN(SUBSTITUTE($D171,":","")),-1))</f>
      </c>
      <c r="J171" s="29" cm="1">
        <f t="array" ref="J171">_xlfn.IFERROR(FIND(":",$D171),0)</f>
        <v>0</v>
      </c>
      <c r="K171" s="29" cm="1">
        <f t="array" ref="K171">_xlfn.IFERROR(FIND(":",$D171,$J171+1),0)</f>
        <v>0</v>
      </c>
      <c r="L171" t="str" s="30" cm="1">
        <f t="array" ref="L171">IF($D171="","",IF($I171=2,MID($D171,$K171+1,10),IF($I171=1,MID($D171,$J171+1,10),IF($I171=0,$D171,""))))</f>
      </c>
      <c r="M171" s="29" cm="1">
        <f t="array" ref="M171">IF($L171="",0,_xlfn.IFERROR(FIND(".",SUBSTITUTE($L171,",",".")),0))</f>
        <v>0</v>
      </c>
      <c r="N171" s="29" cm="1">
        <f t="array" ref="N171">IF($E171="",10^9,$E171)</f>
        <v>1000000000</v>
      </c>
      <c r="O171" t="str" s="30" cm="1">
        <f t="array" ref="O171">IF($E171="","",SUM($E$11:$E171))</f>
      </c>
      <c r="P171" t="str" s="30" cm="1">
        <f t="array" ref="P171">IF($E171="","",($D$6/$D$7+$O171)/COUNT($E$11:$E171))</f>
      </c>
      <c r="Q171" s="29" cm="1">
        <f t="array" ref="Q171">IF($E171="",0,IF(AND($E171&lt;$P171,OR($E172="",$P171&lt;=$E172)),1,0))</f>
        <v>0</v>
      </c>
      <c r="R171" s="27" cm="1">
        <f t="array" ref="R171">IF($V$4=0,"",ROUND($V$4,1)-10+(171-11)*0.1)</f>
        <v>2529.1</v>
      </c>
      <c r="S171" s="28">
        <v>23000</v>
      </c>
      <c r="T171" t="str" s="30" cm="1">
        <f t="array" ref="T171">IF($E171="","",ROUND($G171/$D$8,0)*$D$8)</f>
      </c>
      <c r="U171" s="14"/>
      <c r="V171" s="8"/>
    </row>
    <row r="172" ht="13.55" customHeight="1">
      <c r="A172" t="str" s="30" cm="1">
        <f t="array" ref="A172">IF($E172="","",COUNT($E$11:$E172))</f>
      </c>
      <c r="B172" s="39"/>
      <c r="C172" s="39"/>
      <c r="D172" s="39"/>
      <c r="E172" t="str" s="30" cm="1">
        <f t="array" ref="E172">IF($D172="","",_xlfn.IFERROR(IF($I172=-1,IF($D172&lt;0.5,$D172*86400,IF($D172&lt;100,$D172*1440,$D172)),IF($I172=2,VALUE(LEFT($D172,$J172-1))*3600+VALUE(MID($D172,$J172+1,$K172-$J172-1))*60,IF($I172=1,VALUE(LEFT($D172,$J172-1))*60,0))+IF($M172=0,VALUE($L172),VALUE(LEFT($L172,$M172-1))+VALUE(MID($L172,$M172+1,10))/10^(LEN($L172)-$M172))),""))</f>
      </c>
      <c r="F172" t="str" s="30" cm="1">
        <f t="array" ref="F172">IF($E172="","",MAX(0,$I$7-$E172))</f>
      </c>
      <c r="G172" t="str" s="30" cm="1">
        <f t="array" ref="G172">IF($E172="","",$F172*$D$7)</f>
      </c>
      <c r="H172" t="str" s="30" cm="1">
        <f t="array" ref="H172">IF($E172="","",$T172+IF(AND($V$6&gt;=$D$8,COUNT($E$11:$E172)=$V$7+1),$D$8,0))</f>
      </c>
      <c r="I172" t="str" s="30" cm="1">
        <f t="array" ref="I172">IF($D172="","",IF(ISTEXT($D172),LEN($D172)-LEN(SUBSTITUTE($D172,":","")),-1))</f>
      </c>
      <c r="J172" s="29" cm="1">
        <f t="array" ref="J172">_xlfn.IFERROR(FIND(":",$D172),0)</f>
        <v>0</v>
      </c>
      <c r="K172" s="29" cm="1">
        <f t="array" ref="K172">_xlfn.IFERROR(FIND(":",$D172,$J172+1),0)</f>
        <v>0</v>
      </c>
      <c r="L172" t="str" s="30" cm="1">
        <f t="array" ref="L172">IF($D172="","",IF($I172=2,MID($D172,$K172+1,10),IF($I172=1,MID($D172,$J172+1,10),IF($I172=0,$D172,""))))</f>
      </c>
      <c r="M172" s="29" cm="1">
        <f t="array" ref="M172">IF($L172="",0,_xlfn.IFERROR(FIND(".",SUBSTITUTE($L172,",",".")),0))</f>
        <v>0</v>
      </c>
      <c r="N172" s="29" cm="1">
        <f t="array" ref="N172">IF($E172="",10^9,$E172)</f>
        <v>1000000000</v>
      </c>
      <c r="O172" t="str" s="30" cm="1">
        <f t="array" ref="O172">IF($E172="","",SUM($E$11:$E172))</f>
      </c>
      <c r="P172" t="str" s="30" cm="1">
        <f t="array" ref="P172">IF($E172="","",($D$6/$D$7+$O172)/COUNT($E$11:$E172))</f>
      </c>
      <c r="Q172" s="29" cm="1">
        <f t="array" ref="Q172">IF($E172="",0,IF(AND($E172&lt;$P172,OR($E173="",$P172&lt;=$E173)),1,0))</f>
        <v>0</v>
      </c>
      <c r="R172" s="27" cm="1">
        <f t="array" ref="R172">IF($V$4=0,"",ROUND($V$4,1)-10+(172-11)*0.1)</f>
        <v>2529.2</v>
      </c>
      <c r="S172" s="28">
        <v>23000</v>
      </c>
      <c r="T172" t="str" s="30" cm="1">
        <f t="array" ref="T172">IF($E172="","",ROUND($G172/$D$8,0)*$D$8)</f>
      </c>
      <c r="U172" s="14"/>
      <c r="V172" s="8"/>
    </row>
    <row r="173" ht="13.55" customHeight="1">
      <c r="A173" t="str" s="30" cm="1">
        <f t="array" ref="A173">IF($E173="","",COUNT($E$11:$E173))</f>
      </c>
      <c r="B173" s="39"/>
      <c r="C173" s="39"/>
      <c r="D173" s="39"/>
      <c r="E173" t="str" s="30" cm="1">
        <f t="array" ref="E173">IF($D173="","",_xlfn.IFERROR(IF($I173=-1,IF($D173&lt;0.5,$D173*86400,IF($D173&lt;100,$D173*1440,$D173)),IF($I173=2,VALUE(LEFT($D173,$J173-1))*3600+VALUE(MID($D173,$J173+1,$K173-$J173-1))*60,IF($I173=1,VALUE(LEFT($D173,$J173-1))*60,0))+IF($M173=0,VALUE($L173),VALUE(LEFT($L173,$M173-1))+VALUE(MID($L173,$M173+1,10))/10^(LEN($L173)-$M173))),""))</f>
      </c>
      <c r="F173" t="str" s="30" cm="1">
        <f t="array" ref="F173">IF($E173="","",MAX(0,$I$7-$E173))</f>
      </c>
      <c r="G173" t="str" s="30" cm="1">
        <f t="array" ref="G173">IF($E173="","",$F173*$D$7)</f>
      </c>
      <c r="H173" t="str" s="30" cm="1">
        <f t="array" ref="H173">IF($E173="","",$T173+IF(AND($V$6&gt;=$D$8,COUNT($E$11:$E173)=$V$7+1),$D$8,0))</f>
      </c>
      <c r="I173" t="str" s="30" cm="1">
        <f t="array" ref="I173">IF($D173="","",IF(ISTEXT($D173),LEN($D173)-LEN(SUBSTITUTE($D173,":","")),-1))</f>
      </c>
      <c r="J173" s="29" cm="1">
        <f t="array" ref="J173">_xlfn.IFERROR(FIND(":",$D173),0)</f>
        <v>0</v>
      </c>
      <c r="K173" s="29" cm="1">
        <f t="array" ref="K173">_xlfn.IFERROR(FIND(":",$D173,$J173+1),0)</f>
        <v>0</v>
      </c>
      <c r="L173" t="str" s="30" cm="1">
        <f t="array" ref="L173">IF($D173="","",IF($I173=2,MID($D173,$K173+1,10),IF($I173=1,MID($D173,$J173+1,10),IF($I173=0,$D173,""))))</f>
      </c>
      <c r="M173" s="29" cm="1">
        <f t="array" ref="M173">IF($L173="",0,_xlfn.IFERROR(FIND(".",SUBSTITUTE($L173,",",".")),0))</f>
        <v>0</v>
      </c>
      <c r="N173" s="29" cm="1">
        <f t="array" ref="N173">IF($E173="",10^9,$E173)</f>
        <v>1000000000</v>
      </c>
      <c r="O173" t="str" s="30" cm="1">
        <f t="array" ref="O173">IF($E173="","",SUM($E$11:$E173))</f>
      </c>
      <c r="P173" t="str" s="30" cm="1">
        <f t="array" ref="P173">IF($E173="","",($D$6/$D$7+$O173)/COUNT($E$11:$E173))</f>
      </c>
      <c r="Q173" s="29" cm="1">
        <f t="array" ref="Q173">IF($E173="",0,IF(AND($E173&lt;$P173,OR($E174="",$P173&lt;=$E174)),1,0))</f>
        <v>0</v>
      </c>
      <c r="R173" s="27" cm="1">
        <f t="array" ref="R173">IF($V$4=0,"",ROUND($V$4,1)-10+(173-11)*0.1)</f>
        <v>2529.3</v>
      </c>
      <c r="S173" s="28">
        <v>23000</v>
      </c>
      <c r="T173" t="str" s="30" cm="1">
        <f t="array" ref="T173">IF($E173="","",ROUND($G173/$D$8,0)*$D$8)</f>
      </c>
      <c r="U173" s="14"/>
      <c r="V173" s="8"/>
    </row>
    <row r="174" ht="13.55" customHeight="1">
      <c r="A174" t="str" s="30" cm="1">
        <f t="array" ref="A174">IF($E174="","",COUNT($E$11:$E174))</f>
      </c>
      <c r="B174" s="39"/>
      <c r="C174" s="39"/>
      <c r="D174" s="39"/>
      <c r="E174" t="str" s="30" cm="1">
        <f t="array" ref="E174">IF($D174="","",_xlfn.IFERROR(IF($I174=-1,IF($D174&lt;0.5,$D174*86400,IF($D174&lt;100,$D174*1440,$D174)),IF($I174=2,VALUE(LEFT($D174,$J174-1))*3600+VALUE(MID($D174,$J174+1,$K174-$J174-1))*60,IF($I174=1,VALUE(LEFT($D174,$J174-1))*60,0))+IF($M174=0,VALUE($L174),VALUE(LEFT($L174,$M174-1))+VALUE(MID($L174,$M174+1,10))/10^(LEN($L174)-$M174))),""))</f>
      </c>
      <c r="F174" t="str" s="30" cm="1">
        <f t="array" ref="F174">IF($E174="","",MAX(0,$I$7-$E174))</f>
      </c>
      <c r="G174" t="str" s="30" cm="1">
        <f t="array" ref="G174">IF($E174="","",$F174*$D$7)</f>
      </c>
      <c r="H174" t="str" s="30" cm="1">
        <f t="array" ref="H174">IF($E174="","",$T174+IF(AND($V$6&gt;=$D$8,COUNT($E$11:$E174)=$V$7+1),$D$8,0))</f>
      </c>
      <c r="I174" t="str" s="30" cm="1">
        <f t="array" ref="I174">IF($D174="","",IF(ISTEXT($D174),LEN($D174)-LEN(SUBSTITUTE($D174,":","")),-1))</f>
      </c>
      <c r="J174" s="29" cm="1">
        <f t="array" ref="J174">_xlfn.IFERROR(FIND(":",$D174),0)</f>
        <v>0</v>
      </c>
      <c r="K174" s="29" cm="1">
        <f t="array" ref="K174">_xlfn.IFERROR(FIND(":",$D174,$J174+1),0)</f>
        <v>0</v>
      </c>
      <c r="L174" t="str" s="30" cm="1">
        <f t="array" ref="L174">IF($D174="","",IF($I174=2,MID($D174,$K174+1,10),IF($I174=1,MID($D174,$J174+1,10),IF($I174=0,$D174,""))))</f>
      </c>
      <c r="M174" s="29" cm="1">
        <f t="array" ref="M174">IF($L174="",0,_xlfn.IFERROR(FIND(".",SUBSTITUTE($L174,",",".")),0))</f>
        <v>0</v>
      </c>
      <c r="N174" s="29" cm="1">
        <f t="array" ref="N174">IF($E174="",10^9,$E174)</f>
        <v>1000000000</v>
      </c>
      <c r="O174" t="str" s="30" cm="1">
        <f t="array" ref="O174">IF($E174="","",SUM($E$11:$E174))</f>
      </c>
      <c r="P174" t="str" s="30" cm="1">
        <f t="array" ref="P174">IF($E174="","",($D$6/$D$7+$O174)/COUNT($E$11:$E174))</f>
      </c>
      <c r="Q174" s="29" cm="1">
        <f t="array" ref="Q174">IF($E174="",0,IF(AND($E174&lt;$P174,OR($E175="",$P174&lt;=$E175)),1,0))</f>
        <v>0</v>
      </c>
      <c r="R174" s="27" cm="1">
        <f t="array" ref="R174">IF($V$4=0,"",ROUND($V$4,1)-10+(174-11)*0.1)</f>
        <v>2529.4</v>
      </c>
      <c r="S174" s="28">
        <v>23000</v>
      </c>
      <c r="T174" t="str" s="30" cm="1">
        <f t="array" ref="T174">IF($E174="","",ROUND($G174/$D$8,0)*$D$8)</f>
      </c>
      <c r="U174" s="14"/>
      <c r="V174" s="8"/>
    </row>
    <row r="175" ht="13.55" customHeight="1">
      <c r="A175" t="str" s="30" cm="1">
        <f t="array" ref="A175">IF($E175="","",COUNT($E$11:$E175))</f>
      </c>
      <c r="B175" s="39"/>
      <c r="C175" s="39"/>
      <c r="D175" s="39"/>
      <c r="E175" t="str" s="30" cm="1">
        <f t="array" ref="E175">IF($D175="","",_xlfn.IFERROR(IF($I175=-1,IF($D175&lt;0.5,$D175*86400,IF($D175&lt;100,$D175*1440,$D175)),IF($I175=2,VALUE(LEFT($D175,$J175-1))*3600+VALUE(MID($D175,$J175+1,$K175-$J175-1))*60,IF($I175=1,VALUE(LEFT($D175,$J175-1))*60,0))+IF($M175=0,VALUE($L175),VALUE(LEFT($L175,$M175-1))+VALUE(MID($L175,$M175+1,10))/10^(LEN($L175)-$M175))),""))</f>
      </c>
      <c r="F175" t="str" s="30" cm="1">
        <f t="array" ref="F175">IF($E175="","",MAX(0,$I$7-$E175))</f>
      </c>
      <c r="G175" t="str" s="30" cm="1">
        <f t="array" ref="G175">IF($E175="","",$F175*$D$7)</f>
      </c>
      <c r="H175" t="str" s="30" cm="1">
        <f t="array" ref="H175">IF($E175="","",$T175+IF(AND($V$6&gt;=$D$8,COUNT($E$11:$E175)=$V$7+1),$D$8,0))</f>
      </c>
      <c r="I175" t="str" s="30" cm="1">
        <f t="array" ref="I175">IF($D175="","",IF(ISTEXT($D175),LEN($D175)-LEN(SUBSTITUTE($D175,":","")),-1))</f>
      </c>
      <c r="J175" s="29" cm="1">
        <f t="array" ref="J175">_xlfn.IFERROR(FIND(":",$D175),0)</f>
        <v>0</v>
      </c>
      <c r="K175" s="29" cm="1">
        <f t="array" ref="K175">_xlfn.IFERROR(FIND(":",$D175,$J175+1),0)</f>
        <v>0</v>
      </c>
      <c r="L175" t="str" s="30" cm="1">
        <f t="array" ref="L175">IF($D175="","",IF($I175=2,MID($D175,$K175+1,10),IF($I175=1,MID($D175,$J175+1,10),IF($I175=0,$D175,""))))</f>
      </c>
      <c r="M175" s="29" cm="1">
        <f t="array" ref="M175">IF($L175="",0,_xlfn.IFERROR(FIND(".",SUBSTITUTE($L175,",",".")),0))</f>
        <v>0</v>
      </c>
      <c r="N175" s="29" cm="1">
        <f t="array" ref="N175">IF($E175="",10^9,$E175)</f>
        <v>1000000000</v>
      </c>
      <c r="O175" t="str" s="30" cm="1">
        <f t="array" ref="O175">IF($E175="","",SUM($E$11:$E175))</f>
      </c>
      <c r="P175" t="str" s="30" cm="1">
        <f t="array" ref="P175">IF($E175="","",($D$6/$D$7+$O175)/COUNT($E$11:$E175))</f>
      </c>
      <c r="Q175" s="29" cm="1">
        <f t="array" ref="Q175">IF($E175="",0,IF(AND($E175&lt;$P175,OR($E176="",$P175&lt;=$E176)),1,0))</f>
        <v>0</v>
      </c>
      <c r="R175" s="27" cm="1">
        <f t="array" ref="R175">IF($V$4=0,"",ROUND($V$4,1)-10+(175-11)*0.1)</f>
        <v>2529.5</v>
      </c>
      <c r="S175" s="28">
        <v>23000</v>
      </c>
      <c r="T175" t="str" s="30" cm="1">
        <f t="array" ref="T175">IF($E175="","",ROUND($G175/$D$8,0)*$D$8)</f>
      </c>
      <c r="U175" s="14"/>
      <c r="V175" s="8"/>
    </row>
    <row r="176" ht="13.55" customHeight="1">
      <c r="A176" t="str" s="30" cm="1">
        <f t="array" ref="A176">IF($E176="","",COUNT($E$11:$E176))</f>
      </c>
      <c r="B176" s="39"/>
      <c r="C176" s="39"/>
      <c r="D176" s="39"/>
      <c r="E176" t="str" s="30" cm="1">
        <f t="array" ref="E176">IF($D176="","",_xlfn.IFERROR(IF($I176=-1,IF($D176&lt;0.5,$D176*86400,IF($D176&lt;100,$D176*1440,$D176)),IF($I176=2,VALUE(LEFT($D176,$J176-1))*3600+VALUE(MID($D176,$J176+1,$K176-$J176-1))*60,IF($I176=1,VALUE(LEFT($D176,$J176-1))*60,0))+IF($M176=0,VALUE($L176),VALUE(LEFT($L176,$M176-1))+VALUE(MID($L176,$M176+1,10))/10^(LEN($L176)-$M176))),""))</f>
      </c>
      <c r="F176" t="str" s="30" cm="1">
        <f t="array" ref="F176">IF($E176="","",MAX(0,$I$7-$E176))</f>
      </c>
      <c r="G176" t="str" s="30" cm="1">
        <f t="array" ref="G176">IF($E176="","",$F176*$D$7)</f>
      </c>
      <c r="H176" t="str" s="30" cm="1">
        <f t="array" ref="H176">IF($E176="","",$T176+IF(AND($V$6&gt;=$D$8,COUNT($E$11:$E176)=$V$7+1),$D$8,0))</f>
      </c>
      <c r="I176" t="str" s="30" cm="1">
        <f t="array" ref="I176">IF($D176="","",IF(ISTEXT($D176),LEN($D176)-LEN(SUBSTITUTE($D176,":","")),-1))</f>
      </c>
      <c r="J176" s="29" cm="1">
        <f t="array" ref="J176">_xlfn.IFERROR(FIND(":",$D176),0)</f>
        <v>0</v>
      </c>
      <c r="K176" s="29" cm="1">
        <f t="array" ref="K176">_xlfn.IFERROR(FIND(":",$D176,$J176+1),0)</f>
        <v>0</v>
      </c>
      <c r="L176" t="str" s="30" cm="1">
        <f t="array" ref="L176">IF($D176="","",IF($I176=2,MID($D176,$K176+1,10),IF($I176=1,MID($D176,$J176+1,10),IF($I176=0,$D176,""))))</f>
      </c>
      <c r="M176" s="29" cm="1">
        <f t="array" ref="M176">IF($L176="",0,_xlfn.IFERROR(FIND(".",SUBSTITUTE($L176,",",".")),0))</f>
        <v>0</v>
      </c>
      <c r="N176" s="29" cm="1">
        <f t="array" ref="N176">IF($E176="",10^9,$E176)</f>
        <v>1000000000</v>
      </c>
      <c r="O176" t="str" s="30" cm="1">
        <f t="array" ref="O176">IF($E176="","",SUM($E$11:$E176))</f>
      </c>
      <c r="P176" t="str" s="30" cm="1">
        <f t="array" ref="P176">IF($E176="","",($D$6/$D$7+$O176)/COUNT($E$11:$E176))</f>
      </c>
      <c r="Q176" s="29" cm="1">
        <f t="array" ref="Q176">IF($E176="",0,IF(AND($E176&lt;$P176,OR($E177="",$P176&lt;=$E177)),1,0))</f>
        <v>0</v>
      </c>
      <c r="R176" s="27" cm="1">
        <f t="array" ref="R176">IF($V$4=0,"",ROUND($V$4,1)-10+(176-11)*0.1)</f>
        <v>2529.6</v>
      </c>
      <c r="S176" s="28">
        <v>23000</v>
      </c>
      <c r="T176" t="str" s="30" cm="1">
        <f t="array" ref="T176">IF($E176="","",ROUND($G176/$D$8,0)*$D$8)</f>
      </c>
      <c r="U176" s="14"/>
      <c r="V176" s="8"/>
    </row>
    <row r="177" ht="13.55" customHeight="1">
      <c r="A177" t="str" s="30" cm="1">
        <f t="array" ref="A177">IF($E177="","",COUNT($E$11:$E177))</f>
      </c>
      <c r="B177" s="39"/>
      <c r="C177" s="39"/>
      <c r="D177" s="39"/>
      <c r="E177" t="str" s="30" cm="1">
        <f t="array" ref="E177">IF($D177="","",_xlfn.IFERROR(IF($I177=-1,IF($D177&lt;0.5,$D177*86400,IF($D177&lt;100,$D177*1440,$D177)),IF($I177=2,VALUE(LEFT($D177,$J177-1))*3600+VALUE(MID($D177,$J177+1,$K177-$J177-1))*60,IF($I177=1,VALUE(LEFT($D177,$J177-1))*60,0))+IF($M177=0,VALUE($L177),VALUE(LEFT($L177,$M177-1))+VALUE(MID($L177,$M177+1,10))/10^(LEN($L177)-$M177))),""))</f>
      </c>
      <c r="F177" t="str" s="30" cm="1">
        <f t="array" ref="F177">IF($E177="","",MAX(0,$I$7-$E177))</f>
      </c>
      <c r="G177" t="str" s="30" cm="1">
        <f t="array" ref="G177">IF($E177="","",$F177*$D$7)</f>
      </c>
      <c r="H177" t="str" s="30" cm="1">
        <f t="array" ref="H177">IF($E177="","",$T177+IF(AND($V$6&gt;=$D$8,COUNT($E$11:$E177)=$V$7+1),$D$8,0))</f>
      </c>
      <c r="I177" t="str" s="30" cm="1">
        <f t="array" ref="I177">IF($D177="","",IF(ISTEXT($D177),LEN($D177)-LEN(SUBSTITUTE($D177,":","")),-1))</f>
      </c>
      <c r="J177" s="29" cm="1">
        <f t="array" ref="J177">_xlfn.IFERROR(FIND(":",$D177),0)</f>
        <v>0</v>
      </c>
      <c r="K177" s="29" cm="1">
        <f t="array" ref="K177">_xlfn.IFERROR(FIND(":",$D177,$J177+1),0)</f>
        <v>0</v>
      </c>
      <c r="L177" t="str" s="30" cm="1">
        <f t="array" ref="L177">IF($D177="","",IF($I177=2,MID($D177,$K177+1,10),IF($I177=1,MID($D177,$J177+1,10),IF($I177=0,$D177,""))))</f>
      </c>
      <c r="M177" s="29" cm="1">
        <f t="array" ref="M177">IF($L177="",0,_xlfn.IFERROR(FIND(".",SUBSTITUTE($L177,",",".")),0))</f>
        <v>0</v>
      </c>
      <c r="N177" s="29" cm="1">
        <f t="array" ref="N177">IF($E177="",10^9,$E177)</f>
        <v>1000000000</v>
      </c>
      <c r="O177" t="str" s="30" cm="1">
        <f t="array" ref="O177">IF($E177="","",SUM($E$11:$E177))</f>
      </c>
      <c r="P177" t="str" s="30" cm="1">
        <f t="array" ref="P177">IF($E177="","",($D$6/$D$7+$O177)/COUNT($E$11:$E177))</f>
      </c>
      <c r="Q177" s="29" cm="1">
        <f t="array" ref="Q177">IF($E177="",0,IF(AND($E177&lt;$P177,OR($E178="",$P177&lt;=$E178)),1,0))</f>
        <v>0</v>
      </c>
      <c r="R177" s="27" cm="1">
        <f t="array" ref="R177">IF($V$4=0,"",ROUND($V$4,1)-10+(177-11)*0.1)</f>
        <v>2529.7</v>
      </c>
      <c r="S177" s="28">
        <v>23000</v>
      </c>
      <c r="T177" t="str" s="30" cm="1">
        <f t="array" ref="T177">IF($E177="","",ROUND($G177/$D$8,0)*$D$8)</f>
      </c>
      <c r="U177" s="14"/>
      <c r="V177" s="8"/>
    </row>
    <row r="178" ht="13.55" customHeight="1">
      <c r="A178" t="str" s="30" cm="1">
        <f t="array" ref="A178">IF($E178="","",COUNT($E$11:$E178))</f>
      </c>
      <c r="B178" s="39"/>
      <c r="C178" s="39"/>
      <c r="D178" s="39"/>
      <c r="E178" t="str" s="30" cm="1">
        <f t="array" ref="E178">IF($D178="","",_xlfn.IFERROR(IF($I178=-1,IF($D178&lt;0.5,$D178*86400,IF($D178&lt;100,$D178*1440,$D178)),IF($I178=2,VALUE(LEFT($D178,$J178-1))*3600+VALUE(MID($D178,$J178+1,$K178-$J178-1))*60,IF($I178=1,VALUE(LEFT($D178,$J178-1))*60,0))+IF($M178=0,VALUE($L178),VALUE(LEFT($L178,$M178-1))+VALUE(MID($L178,$M178+1,10))/10^(LEN($L178)-$M178))),""))</f>
      </c>
      <c r="F178" t="str" s="30" cm="1">
        <f t="array" ref="F178">IF($E178="","",MAX(0,$I$7-$E178))</f>
      </c>
      <c r="G178" t="str" s="30" cm="1">
        <f t="array" ref="G178">IF($E178="","",$F178*$D$7)</f>
      </c>
      <c r="H178" t="str" s="30" cm="1">
        <f t="array" ref="H178">IF($E178="","",$T178+IF(AND($V$6&gt;=$D$8,COUNT($E$11:$E178)=$V$7+1),$D$8,0))</f>
      </c>
      <c r="I178" t="str" s="30" cm="1">
        <f t="array" ref="I178">IF($D178="","",IF(ISTEXT($D178),LEN($D178)-LEN(SUBSTITUTE($D178,":","")),-1))</f>
      </c>
      <c r="J178" s="29" cm="1">
        <f t="array" ref="J178">_xlfn.IFERROR(FIND(":",$D178),0)</f>
        <v>0</v>
      </c>
      <c r="K178" s="29" cm="1">
        <f t="array" ref="K178">_xlfn.IFERROR(FIND(":",$D178,$J178+1),0)</f>
        <v>0</v>
      </c>
      <c r="L178" t="str" s="30" cm="1">
        <f t="array" ref="L178">IF($D178="","",IF($I178=2,MID($D178,$K178+1,10),IF($I178=1,MID($D178,$J178+1,10),IF($I178=0,$D178,""))))</f>
      </c>
      <c r="M178" s="29" cm="1">
        <f t="array" ref="M178">IF($L178="",0,_xlfn.IFERROR(FIND(".",SUBSTITUTE($L178,",",".")),0))</f>
        <v>0</v>
      </c>
      <c r="N178" s="29" cm="1">
        <f t="array" ref="N178">IF($E178="",10^9,$E178)</f>
        <v>1000000000</v>
      </c>
      <c r="O178" t="str" s="30" cm="1">
        <f t="array" ref="O178">IF($E178="","",SUM($E$11:$E178))</f>
      </c>
      <c r="P178" t="str" s="30" cm="1">
        <f t="array" ref="P178">IF($E178="","",($D$6/$D$7+$O178)/COUNT($E$11:$E178))</f>
      </c>
      <c r="Q178" s="29" cm="1">
        <f t="array" ref="Q178">IF($E178="",0,IF(AND($E178&lt;$P178,OR($E179="",$P178&lt;=$E179)),1,0))</f>
        <v>0</v>
      </c>
      <c r="R178" s="27" cm="1">
        <f t="array" ref="R178">IF($V$4=0,"",ROUND($V$4,1)-10+(178-11)*0.1)</f>
        <v>2529.8</v>
      </c>
      <c r="S178" s="28">
        <v>23000</v>
      </c>
      <c r="T178" t="str" s="30" cm="1">
        <f t="array" ref="T178">IF($E178="","",ROUND($G178/$D$8,0)*$D$8)</f>
      </c>
      <c r="U178" s="14"/>
      <c r="V178" s="8"/>
    </row>
    <row r="179" ht="13.55" customHeight="1">
      <c r="A179" t="str" s="30" cm="1">
        <f t="array" ref="A179">IF($E179="","",COUNT($E$11:$E179))</f>
      </c>
      <c r="B179" s="39"/>
      <c r="C179" s="39"/>
      <c r="D179" s="39"/>
      <c r="E179" t="str" s="30" cm="1">
        <f t="array" ref="E179">IF($D179="","",_xlfn.IFERROR(IF($I179=-1,IF($D179&lt;0.5,$D179*86400,IF($D179&lt;100,$D179*1440,$D179)),IF($I179=2,VALUE(LEFT($D179,$J179-1))*3600+VALUE(MID($D179,$J179+1,$K179-$J179-1))*60,IF($I179=1,VALUE(LEFT($D179,$J179-1))*60,0))+IF($M179=0,VALUE($L179),VALUE(LEFT($L179,$M179-1))+VALUE(MID($L179,$M179+1,10))/10^(LEN($L179)-$M179))),""))</f>
      </c>
      <c r="F179" t="str" s="30" cm="1">
        <f t="array" ref="F179">IF($E179="","",MAX(0,$I$7-$E179))</f>
      </c>
      <c r="G179" t="str" s="30" cm="1">
        <f t="array" ref="G179">IF($E179="","",$F179*$D$7)</f>
      </c>
      <c r="H179" t="str" s="30" cm="1">
        <f t="array" ref="H179">IF($E179="","",$T179+IF(AND($V$6&gt;=$D$8,COUNT($E$11:$E179)=$V$7+1),$D$8,0))</f>
      </c>
      <c r="I179" t="str" s="30" cm="1">
        <f t="array" ref="I179">IF($D179="","",IF(ISTEXT($D179),LEN($D179)-LEN(SUBSTITUTE($D179,":","")),-1))</f>
      </c>
      <c r="J179" s="29" cm="1">
        <f t="array" ref="J179">_xlfn.IFERROR(FIND(":",$D179),0)</f>
        <v>0</v>
      </c>
      <c r="K179" s="29" cm="1">
        <f t="array" ref="K179">_xlfn.IFERROR(FIND(":",$D179,$J179+1),0)</f>
        <v>0</v>
      </c>
      <c r="L179" t="str" s="30" cm="1">
        <f t="array" ref="L179">IF($D179="","",IF($I179=2,MID($D179,$K179+1,10),IF($I179=1,MID($D179,$J179+1,10),IF($I179=0,$D179,""))))</f>
      </c>
      <c r="M179" s="29" cm="1">
        <f t="array" ref="M179">IF($L179="",0,_xlfn.IFERROR(FIND(".",SUBSTITUTE($L179,",",".")),0))</f>
        <v>0</v>
      </c>
      <c r="N179" s="29" cm="1">
        <f t="array" ref="N179">IF($E179="",10^9,$E179)</f>
        <v>1000000000</v>
      </c>
      <c r="O179" t="str" s="30" cm="1">
        <f t="array" ref="O179">IF($E179="","",SUM($E$11:$E179))</f>
      </c>
      <c r="P179" t="str" s="30" cm="1">
        <f t="array" ref="P179">IF($E179="","",($D$6/$D$7+$O179)/COUNT($E$11:$E179))</f>
      </c>
      <c r="Q179" s="29" cm="1">
        <f t="array" ref="Q179">IF($E179="",0,IF(AND($E179&lt;$P179,OR($E180="",$P179&lt;=$E180)),1,0))</f>
        <v>0</v>
      </c>
      <c r="R179" s="27" cm="1">
        <f t="array" ref="R179">IF($V$4=0,"",ROUND($V$4,1)-10+(179-11)*0.1)</f>
        <v>2529.9</v>
      </c>
      <c r="S179" s="28">
        <v>23000</v>
      </c>
      <c r="T179" t="str" s="30" cm="1">
        <f t="array" ref="T179">IF($E179="","",ROUND($G179/$D$8,0)*$D$8)</f>
      </c>
      <c r="U179" s="14"/>
      <c r="V179" s="8"/>
    </row>
    <row r="180" ht="13.55" customHeight="1">
      <c r="A180" t="str" s="30" cm="1">
        <f t="array" ref="A180">IF($E180="","",COUNT($E$11:$E180))</f>
      </c>
      <c r="B180" s="39"/>
      <c r="C180" s="39"/>
      <c r="D180" s="39"/>
      <c r="E180" t="str" s="30" cm="1">
        <f t="array" ref="E180">IF($D180="","",_xlfn.IFERROR(IF($I180=-1,IF($D180&lt;0.5,$D180*86400,IF($D180&lt;100,$D180*1440,$D180)),IF($I180=2,VALUE(LEFT($D180,$J180-1))*3600+VALUE(MID($D180,$J180+1,$K180-$J180-1))*60,IF($I180=1,VALUE(LEFT($D180,$J180-1))*60,0))+IF($M180=0,VALUE($L180),VALUE(LEFT($L180,$M180-1))+VALUE(MID($L180,$M180+1,10))/10^(LEN($L180)-$M180))),""))</f>
      </c>
      <c r="F180" t="str" s="30" cm="1">
        <f t="array" ref="F180">IF($E180="","",MAX(0,$I$7-$E180))</f>
      </c>
      <c r="G180" t="str" s="30" cm="1">
        <f t="array" ref="G180">IF($E180="","",$F180*$D$7)</f>
      </c>
      <c r="H180" t="str" s="30" cm="1">
        <f t="array" ref="H180">IF($E180="","",$T180+IF(AND($V$6&gt;=$D$8,COUNT($E$11:$E180)=$V$7+1),$D$8,0))</f>
      </c>
      <c r="I180" t="str" s="30" cm="1">
        <f t="array" ref="I180">IF($D180="","",IF(ISTEXT($D180),LEN($D180)-LEN(SUBSTITUTE($D180,":","")),-1))</f>
      </c>
      <c r="J180" s="29" cm="1">
        <f t="array" ref="J180">_xlfn.IFERROR(FIND(":",$D180),0)</f>
        <v>0</v>
      </c>
      <c r="K180" s="29" cm="1">
        <f t="array" ref="K180">_xlfn.IFERROR(FIND(":",$D180,$J180+1),0)</f>
        <v>0</v>
      </c>
      <c r="L180" t="str" s="30" cm="1">
        <f t="array" ref="L180">IF($D180="","",IF($I180=2,MID($D180,$K180+1,10),IF($I180=1,MID($D180,$J180+1,10),IF($I180=0,$D180,""))))</f>
      </c>
      <c r="M180" s="29" cm="1">
        <f t="array" ref="M180">IF($L180="",0,_xlfn.IFERROR(FIND(".",SUBSTITUTE($L180,",",".")),0))</f>
        <v>0</v>
      </c>
      <c r="N180" s="29" cm="1">
        <f t="array" ref="N180">IF($E180="",10^9,$E180)</f>
        <v>1000000000</v>
      </c>
      <c r="O180" t="str" s="30" cm="1">
        <f t="array" ref="O180">IF($E180="","",SUM($E$11:$E180))</f>
      </c>
      <c r="P180" t="str" s="30" cm="1">
        <f t="array" ref="P180">IF($E180="","",($D$6/$D$7+$O180)/COUNT($E$11:$E180))</f>
      </c>
      <c r="Q180" s="29" cm="1">
        <f t="array" ref="Q180">IF($E180="",0,IF(AND($E180&lt;$P180,OR($E181="",$P180&lt;=$E181)),1,0))</f>
        <v>0</v>
      </c>
      <c r="R180" s="27" cm="1">
        <f t="array" ref="R180">IF($V$4=0,"",ROUND($V$4,1)-10+(180-11)*0.1)</f>
        <v>2530</v>
      </c>
      <c r="S180" s="28">
        <v>23000</v>
      </c>
      <c r="T180" t="str" s="30" cm="1">
        <f t="array" ref="T180">IF($E180="","",ROUND($G180/$D$8,0)*$D$8)</f>
      </c>
      <c r="U180" s="14"/>
      <c r="V180" s="8"/>
    </row>
    <row r="181" ht="13.55" customHeight="1">
      <c r="A181" t="str" s="30" cm="1">
        <f t="array" ref="A181">IF($E181="","",COUNT($E$11:$E181))</f>
      </c>
      <c r="B181" s="39"/>
      <c r="C181" s="39"/>
      <c r="D181" s="39"/>
      <c r="E181" t="str" s="30" cm="1">
        <f t="array" ref="E181">IF($D181="","",_xlfn.IFERROR(IF($I181=-1,IF($D181&lt;0.5,$D181*86400,IF($D181&lt;100,$D181*1440,$D181)),IF($I181=2,VALUE(LEFT($D181,$J181-1))*3600+VALUE(MID($D181,$J181+1,$K181-$J181-1))*60,IF($I181=1,VALUE(LEFT($D181,$J181-1))*60,0))+IF($M181=0,VALUE($L181),VALUE(LEFT($L181,$M181-1))+VALUE(MID($L181,$M181+1,10))/10^(LEN($L181)-$M181))),""))</f>
      </c>
      <c r="F181" t="str" s="30" cm="1">
        <f t="array" ref="F181">IF($E181="","",MAX(0,$I$7-$E181))</f>
      </c>
      <c r="G181" t="str" s="30" cm="1">
        <f t="array" ref="G181">IF($E181="","",$F181*$D$7)</f>
      </c>
      <c r="H181" t="str" s="30" cm="1">
        <f t="array" ref="H181">IF($E181="","",$T181+IF(AND($V$6&gt;=$D$8,COUNT($E$11:$E181)=$V$7+1),$D$8,0))</f>
      </c>
      <c r="I181" t="str" s="30" cm="1">
        <f t="array" ref="I181">IF($D181="","",IF(ISTEXT($D181),LEN($D181)-LEN(SUBSTITUTE($D181,":","")),-1))</f>
      </c>
      <c r="J181" s="29" cm="1">
        <f t="array" ref="J181">_xlfn.IFERROR(FIND(":",$D181),0)</f>
        <v>0</v>
      </c>
      <c r="K181" s="29" cm="1">
        <f t="array" ref="K181">_xlfn.IFERROR(FIND(":",$D181,$J181+1),0)</f>
        <v>0</v>
      </c>
      <c r="L181" t="str" s="30" cm="1">
        <f t="array" ref="L181">IF($D181="","",IF($I181=2,MID($D181,$K181+1,10),IF($I181=1,MID($D181,$J181+1,10),IF($I181=0,$D181,""))))</f>
      </c>
      <c r="M181" s="29" cm="1">
        <f t="array" ref="M181">IF($L181="",0,_xlfn.IFERROR(FIND(".",SUBSTITUTE($L181,",",".")),0))</f>
        <v>0</v>
      </c>
      <c r="N181" s="29" cm="1">
        <f t="array" ref="N181">IF($E181="",10^9,$E181)</f>
        <v>1000000000</v>
      </c>
      <c r="O181" t="str" s="30" cm="1">
        <f t="array" ref="O181">IF($E181="","",SUM($E$11:$E181))</f>
      </c>
      <c r="P181" t="str" s="30" cm="1">
        <f t="array" ref="P181">IF($E181="","",($D$6/$D$7+$O181)/COUNT($E$11:$E181))</f>
      </c>
      <c r="Q181" s="29" cm="1">
        <f t="array" ref="Q181">IF($E181="",0,IF(AND($E181&lt;$P181,OR($E182="",$P181&lt;=$E182)),1,0))</f>
        <v>0</v>
      </c>
      <c r="R181" s="27" cm="1">
        <f t="array" ref="R181">IF($V$4=0,"",ROUND($V$4,1)-10+(181-11)*0.1)</f>
        <v>2530.1</v>
      </c>
      <c r="S181" s="28">
        <v>23000</v>
      </c>
      <c r="T181" t="str" s="30" cm="1">
        <f t="array" ref="T181">IF($E181="","",ROUND($G181/$D$8,0)*$D$8)</f>
      </c>
      <c r="U181" s="14"/>
      <c r="V181" s="8"/>
    </row>
    <row r="182" ht="13.55" customHeight="1">
      <c r="A182" t="str" s="30" cm="1">
        <f t="array" ref="A182">IF($E182="","",COUNT($E$11:$E182))</f>
      </c>
      <c r="B182" s="39"/>
      <c r="C182" s="39"/>
      <c r="D182" s="39"/>
      <c r="E182" t="str" s="30" cm="1">
        <f t="array" ref="E182">IF($D182="","",_xlfn.IFERROR(IF($I182=-1,IF($D182&lt;0.5,$D182*86400,IF($D182&lt;100,$D182*1440,$D182)),IF($I182=2,VALUE(LEFT($D182,$J182-1))*3600+VALUE(MID($D182,$J182+1,$K182-$J182-1))*60,IF($I182=1,VALUE(LEFT($D182,$J182-1))*60,0))+IF($M182=0,VALUE($L182),VALUE(LEFT($L182,$M182-1))+VALUE(MID($L182,$M182+1,10))/10^(LEN($L182)-$M182))),""))</f>
      </c>
      <c r="F182" t="str" s="30" cm="1">
        <f t="array" ref="F182">IF($E182="","",MAX(0,$I$7-$E182))</f>
      </c>
      <c r="G182" t="str" s="30" cm="1">
        <f t="array" ref="G182">IF($E182="","",$F182*$D$7)</f>
      </c>
      <c r="H182" t="str" s="30" cm="1">
        <f t="array" ref="H182">IF($E182="","",$T182+IF(AND($V$6&gt;=$D$8,COUNT($E$11:$E182)=$V$7+1),$D$8,0))</f>
      </c>
      <c r="I182" t="str" s="30" cm="1">
        <f t="array" ref="I182">IF($D182="","",IF(ISTEXT($D182),LEN($D182)-LEN(SUBSTITUTE($D182,":","")),-1))</f>
      </c>
      <c r="J182" s="29" cm="1">
        <f t="array" ref="J182">_xlfn.IFERROR(FIND(":",$D182),0)</f>
        <v>0</v>
      </c>
      <c r="K182" s="29" cm="1">
        <f t="array" ref="K182">_xlfn.IFERROR(FIND(":",$D182,$J182+1),0)</f>
        <v>0</v>
      </c>
      <c r="L182" t="str" s="30" cm="1">
        <f t="array" ref="L182">IF($D182="","",IF($I182=2,MID($D182,$K182+1,10),IF($I182=1,MID($D182,$J182+1,10),IF($I182=0,$D182,""))))</f>
      </c>
      <c r="M182" s="29" cm="1">
        <f t="array" ref="M182">IF($L182="",0,_xlfn.IFERROR(FIND(".",SUBSTITUTE($L182,",",".")),0))</f>
        <v>0</v>
      </c>
      <c r="N182" s="29" cm="1">
        <f t="array" ref="N182">IF($E182="",10^9,$E182)</f>
        <v>1000000000</v>
      </c>
      <c r="O182" t="str" s="30" cm="1">
        <f t="array" ref="O182">IF($E182="","",SUM($E$11:$E182))</f>
      </c>
      <c r="P182" t="str" s="30" cm="1">
        <f t="array" ref="P182">IF($E182="","",($D$6/$D$7+$O182)/COUNT($E$11:$E182))</f>
      </c>
      <c r="Q182" s="29" cm="1">
        <f t="array" ref="Q182">IF($E182="",0,IF(AND($E182&lt;$P182,OR($E183="",$P182&lt;=$E183)),1,0))</f>
        <v>0</v>
      </c>
      <c r="R182" s="27" cm="1">
        <f t="array" ref="R182">IF($V$4=0,"",ROUND($V$4,1)-10+(182-11)*0.1)</f>
        <v>2530.2</v>
      </c>
      <c r="S182" s="28">
        <v>23000</v>
      </c>
      <c r="T182" t="str" s="30" cm="1">
        <f t="array" ref="T182">IF($E182="","",ROUND($G182/$D$8,0)*$D$8)</f>
      </c>
      <c r="U182" s="14"/>
      <c r="V182" s="8"/>
    </row>
    <row r="183" ht="13.55" customHeight="1">
      <c r="A183" t="str" s="30" cm="1">
        <f t="array" ref="A183">IF($E183="","",COUNT($E$11:$E183))</f>
      </c>
      <c r="B183" s="39"/>
      <c r="C183" s="39"/>
      <c r="D183" s="39"/>
      <c r="E183" t="str" s="30" cm="1">
        <f t="array" ref="E183">IF($D183="","",_xlfn.IFERROR(IF($I183=-1,IF($D183&lt;0.5,$D183*86400,IF($D183&lt;100,$D183*1440,$D183)),IF($I183=2,VALUE(LEFT($D183,$J183-1))*3600+VALUE(MID($D183,$J183+1,$K183-$J183-1))*60,IF($I183=1,VALUE(LEFT($D183,$J183-1))*60,0))+IF($M183=0,VALUE($L183),VALUE(LEFT($L183,$M183-1))+VALUE(MID($L183,$M183+1,10))/10^(LEN($L183)-$M183))),""))</f>
      </c>
      <c r="F183" t="str" s="30" cm="1">
        <f t="array" ref="F183">IF($E183="","",MAX(0,$I$7-$E183))</f>
      </c>
      <c r="G183" t="str" s="30" cm="1">
        <f t="array" ref="G183">IF($E183="","",$F183*$D$7)</f>
      </c>
      <c r="H183" t="str" s="30" cm="1">
        <f t="array" ref="H183">IF($E183="","",$T183+IF(AND($V$6&gt;=$D$8,COUNT($E$11:$E183)=$V$7+1),$D$8,0))</f>
      </c>
      <c r="I183" t="str" s="30" cm="1">
        <f t="array" ref="I183">IF($D183="","",IF(ISTEXT($D183),LEN($D183)-LEN(SUBSTITUTE($D183,":","")),-1))</f>
      </c>
      <c r="J183" s="29" cm="1">
        <f t="array" ref="J183">_xlfn.IFERROR(FIND(":",$D183),0)</f>
        <v>0</v>
      </c>
      <c r="K183" s="29" cm="1">
        <f t="array" ref="K183">_xlfn.IFERROR(FIND(":",$D183,$J183+1),0)</f>
        <v>0</v>
      </c>
      <c r="L183" t="str" s="30" cm="1">
        <f t="array" ref="L183">IF($D183="","",IF($I183=2,MID($D183,$K183+1,10),IF($I183=1,MID($D183,$J183+1,10),IF($I183=0,$D183,""))))</f>
      </c>
      <c r="M183" s="29" cm="1">
        <f t="array" ref="M183">IF($L183="",0,_xlfn.IFERROR(FIND(".",SUBSTITUTE($L183,",",".")),0))</f>
        <v>0</v>
      </c>
      <c r="N183" s="29" cm="1">
        <f t="array" ref="N183">IF($E183="",10^9,$E183)</f>
        <v>1000000000</v>
      </c>
      <c r="O183" t="str" s="30" cm="1">
        <f t="array" ref="O183">IF($E183="","",SUM($E$11:$E183))</f>
      </c>
      <c r="P183" t="str" s="30" cm="1">
        <f t="array" ref="P183">IF($E183="","",($D$6/$D$7+$O183)/COUNT($E$11:$E183))</f>
      </c>
      <c r="Q183" s="29" cm="1">
        <f t="array" ref="Q183">IF($E183="",0,IF(AND($E183&lt;$P183,OR($E184="",$P183&lt;=$E184)),1,0))</f>
        <v>0</v>
      </c>
      <c r="R183" s="27" cm="1">
        <f t="array" ref="R183">IF($V$4=0,"",ROUND($V$4,1)-10+(183-11)*0.1)</f>
        <v>2530.3</v>
      </c>
      <c r="S183" s="28">
        <v>23000</v>
      </c>
      <c r="T183" t="str" s="30" cm="1">
        <f t="array" ref="T183">IF($E183="","",ROUND($G183/$D$8,0)*$D$8)</f>
      </c>
      <c r="U183" s="14"/>
      <c r="V183" s="8"/>
    </row>
    <row r="184" ht="13.55" customHeight="1">
      <c r="A184" t="str" s="30" cm="1">
        <f t="array" ref="A184">IF($E184="","",COUNT($E$11:$E184))</f>
      </c>
      <c r="B184" s="39"/>
      <c r="C184" s="39"/>
      <c r="D184" s="39"/>
      <c r="E184" t="str" s="30" cm="1">
        <f t="array" ref="E184">IF($D184="","",_xlfn.IFERROR(IF($I184=-1,IF($D184&lt;0.5,$D184*86400,IF($D184&lt;100,$D184*1440,$D184)),IF($I184=2,VALUE(LEFT($D184,$J184-1))*3600+VALUE(MID($D184,$J184+1,$K184-$J184-1))*60,IF($I184=1,VALUE(LEFT($D184,$J184-1))*60,0))+IF($M184=0,VALUE($L184),VALUE(LEFT($L184,$M184-1))+VALUE(MID($L184,$M184+1,10))/10^(LEN($L184)-$M184))),""))</f>
      </c>
      <c r="F184" t="str" s="30" cm="1">
        <f t="array" ref="F184">IF($E184="","",MAX(0,$I$7-$E184))</f>
      </c>
      <c r="G184" t="str" s="30" cm="1">
        <f t="array" ref="G184">IF($E184="","",$F184*$D$7)</f>
      </c>
      <c r="H184" t="str" s="30" cm="1">
        <f t="array" ref="H184">IF($E184="","",$T184+IF(AND($V$6&gt;=$D$8,COUNT($E$11:$E184)=$V$7+1),$D$8,0))</f>
      </c>
      <c r="I184" t="str" s="30" cm="1">
        <f t="array" ref="I184">IF($D184="","",IF(ISTEXT($D184),LEN($D184)-LEN(SUBSTITUTE($D184,":","")),-1))</f>
      </c>
      <c r="J184" s="29" cm="1">
        <f t="array" ref="J184">_xlfn.IFERROR(FIND(":",$D184),0)</f>
        <v>0</v>
      </c>
      <c r="K184" s="29" cm="1">
        <f t="array" ref="K184">_xlfn.IFERROR(FIND(":",$D184,$J184+1),0)</f>
        <v>0</v>
      </c>
      <c r="L184" t="str" s="30" cm="1">
        <f t="array" ref="L184">IF($D184="","",IF($I184=2,MID($D184,$K184+1,10),IF($I184=1,MID($D184,$J184+1,10),IF($I184=0,$D184,""))))</f>
      </c>
      <c r="M184" s="29" cm="1">
        <f t="array" ref="M184">IF($L184="",0,_xlfn.IFERROR(FIND(".",SUBSTITUTE($L184,",",".")),0))</f>
        <v>0</v>
      </c>
      <c r="N184" s="29" cm="1">
        <f t="array" ref="N184">IF($E184="",10^9,$E184)</f>
        <v>1000000000</v>
      </c>
      <c r="O184" t="str" s="30" cm="1">
        <f t="array" ref="O184">IF($E184="","",SUM($E$11:$E184))</f>
      </c>
      <c r="P184" t="str" s="30" cm="1">
        <f t="array" ref="P184">IF($E184="","",($D$6/$D$7+$O184)/COUNT($E$11:$E184))</f>
      </c>
      <c r="Q184" s="29" cm="1">
        <f t="array" ref="Q184">IF($E184="",0,IF(AND($E184&lt;$P184,OR($E185="",$P184&lt;=$E185)),1,0))</f>
        <v>0</v>
      </c>
      <c r="R184" s="27" cm="1">
        <f t="array" ref="R184">IF($V$4=0,"",ROUND($V$4,1)-10+(184-11)*0.1)</f>
        <v>2530.4</v>
      </c>
      <c r="S184" s="28">
        <v>23000</v>
      </c>
      <c r="T184" t="str" s="30" cm="1">
        <f t="array" ref="T184">IF($E184="","",ROUND($G184/$D$8,0)*$D$8)</f>
      </c>
      <c r="U184" s="14"/>
      <c r="V184" s="8"/>
    </row>
    <row r="185" ht="13.55" customHeight="1">
      <c r="A185" t="str" s="30" cm="1">
        <f t="array" ref="A185">IF($E185="","",COUNT($E$11:$E185))</f>
      </c>
      <c r="B185" s="39"/>
      <c r="C185" s="39"/>
      <c r="D185" s="39"/>
      <c r="E185" t="str" s="30" cm="1">
        <f t="array" ref="E185">IF($D185="","",_xlfn.IFERROR(IF($I185=-1,IF($D185&lt;0.5,$D185*86400,IF($D185&lt;100,$D185*1440,$D185)),IF($I185=2,VALUE(LEFT($D185,$J185-1))*3600+VALUE(MID($D185,$J185+1,$K185-$J185-1))*60,IF($I185=1,VALUE(LEFT($D185,$J185-1))*60,0))+IF($M185=0,VALUE($L185),VALUE(LEFT($L185,$M185-1))+VALUE(MID($L185,$M185+1,10))/10^(LEN($L185)-$M185))),""))</f>
      </c>
      <c r="F185" t="str" s="30" cm="1">
        <f t="array" ref="F185">IF($E185="","",MAX(0,$I$7-$E185))</f>
      </c>
      <c r="G185" t="str" s="30" cm="1">
        <f t="array" ref="G185">IF($E185="","",$F185*$D$7)</f>
      </c>
      <c r="H185" t="str" s="30" cm="1">
        <f t="array" ref="H185">IF($E185="","",$T185+IF(AND($V$6&gt;=$D$8,COUNT($E$11:$E185)=$V$7+1),$D$8,0))</f>
      </c>
      <c r="I185" t="str" s="30" cm="1">
        <f t="array" ref="I185">IF($D185="","",IF(ISTEXT($D185),LEN($D185)-LEN(SUBSTITUTE($D185,":","")),-1))</f>
      </c>
      <c r="J185" s="29" cm="1">
        <f t="array" ref="J185">_xlfn.IFERROR(FIND(":",$D185),0)</f>
        <v>0</v>
      </c>
      <c r="K185" s="29" cm="1">
        <f t="array" ref="K185">_xlfn.IFERROR(FIND(":",$D185,$J185+1),0)</f>
        <v>0</v>
      </c>
      <c r="L185" t="str" s="30" cm="1">
        <f t="array" ref="L185">IF($D185="","",IF($I185=2,MID($D185,$K185+1,10),IF($I185=1,MID($D185,$J185+1,10),IF($I185=0,$D185,""))))</f>
      </c>
      <c r="M185" s="29" cm="1">
        <f t="array" ref="M185">IF($L185="",0,_xlfn.IFERROR(FIND(".",SUBSTITUTE($L185,",",".")),0))</f>
        <v>0</v>
      </c>
      <c r="N185" s="29" cm="1">
        <f t="array" ref="N185">IF($E185="",10^9,$E185)</f>
        <v>1000000000</v>
      </c>
      <c r="O185" t="str" s="30" cm="1">
        <f t="array" ref="O185">IF($E185="","",SUM($E$11:$E185))</f>
      </c>
      <c r="P185" t="str" s="30" cm="1">
        <f t="array" ref="P185">IF($E185="","",($D$6/$D$7+$O185)/COUNT($E$11:$E185))</f>
      </c>
      <c r="Q185" s="29" cm="1">
        <f t="array" ref="Q185">IF($E185="",0,IF(AND($E185&lt;$P185,OR($E186="",$P185&lt;=$E186)),1,0))</f>
        <v>0</v>
      </c>
      <c r="R185" s="27" cm="1">
        <f t="array" ref="R185">IF($V$4=0,"",ROUND($V$4,1)-10+(185-11)*0.1)</f>
        <v>2530.5</v>
      </c>
      <c r="S185" s="28">
        <v>23000</v>
      </c>
      <c r="T185" t="str" s="30" cm="1">
        <f t="array" ref="T185">IF($E185="","",ROUND($G185/$D$8,0)*$D$8)</f>
      </c>
      <c r="U185" s="14"/>
      <c r="V185" s="8"/>
    </row>
    <row r="186" ht="13.55" customHeight="1">
      <c r="A186" t="str" s="30" cm="1">
        <f t="array" ref="A186">IF($E186="","",COUNT($E$11:$E186))</f>
      </c>
      <c r="B186" s="39"/>
      <c r="C186" s="39"/>
      <c r="D186" s="39"/>
      <c r="E186" t="str" s="30" cm="1">
        <f t="array" ref="E186">IF($D186="","",_xlfn.IFERROR(IF($I186=-1,IF($D186&lt;0.5,$D186*86400,IF($D186&lt;100,$D186*1440,$D186)),IF($I186=2,VALUE(LEFT($D186,$J186-1))*3600+VALUE(MID($D186,$J186+1,$K186-$J186-1))*60,IF($I186=1,VALUE(LEFT($D186,$J186-1))*60,0))+IF($M186=0,VALUE($L186),VALUE(LEFT($L186,$M186-1))+VALUE(MID($L186,$M186+1,10))/10^(LEN($L186)-$M186))),""))</f>
      </c>
      <c r="F186" t="str" s="30" cm="1">
        <f t="array" ref="F186">IF($E186="","",MAX(0,$I$7-$E186))</f>
      </c>
      <c r="G186" t="str" s="30" cm="1">
        <f t="array" ref="G186">IF($E186="","",$F186*$D$7)</f>
      </c>
      <c r="H186" t="str" s="30" cm="1">
        <f t="array" ref="H186">IF($E186="","",$T186+IF(AND($V$6&gt;=$D$8,COUNT($E$11:$E186)=$V$7+1),$D$8,0))</f>
      </c>
      <c r="I186" t="str" s="30" cm="1">
        <f t="array" ref="I186">IF($D186="","",IF(ISTEXT($D186),LEN($D186)-LEN(SUBSTITUTE($D186,":","")),-1))</f>
      </c>
      <c r="J186" s="29" cm="1">
        <f t="array" ref="J186">_xlfn.IFERROR(FIND(":",$D186),0)</f>
        <v>0</v>
      </c>
      <c r="K186" s="29" cm="1">
        <f t="array" ref="K186">_xlfn.IFERROR(FIND(":",$D186,$J186+1),0)</f>
        <v>0</v>
      </c>
      <c r="L186" t="str" s="30" cm="1">
        <f t="array" ref="L186">IF($D186="","",IF($I186=2,MID($D186,$K186+1,10),IF($I186=1,MID($D186,$J186+1,10),IF($I186=0,$D186,""))))</f>
      </c>
      <c r="M186" s="29" cm="1">
        <f t="array" ref="M186">IF($L186="",0,_xlfn.IFERROR(FIND(".",SUBSTITUTE($L186,",",".")),0))</f>
        <v>0</v>
      </c>
      <c r="N186" s="29" cm="1">
        <f t="array" ref="N186">IF($E186="",10^9,$E186)</f>
        <v>1000000000</v>
      </c>
      <c r="O186" t="str" s="30" cm="1">
        <f t="array" ref="O186">IF($E186="","",SUM($E$11:$E186))</f>
      </c>
      <c r="P186" t="str" s="30" cm="1">
        <f t="array" ref="P186">IF($E186="","",($D$6/$D$7+$O186)/COUNT($E$11:$E186))</f>
      </c>
      <c r="Q186" s="29" cm="1">
        <f t="array" ref="Q186">IF($E186="",0,IF(AND($E186&lt;$P186,OR($E187="",$P186&lt;=$E187)),1,0))</f>
        <v>0</v>
      </c>
      <c r="R186" s="27" cm="1">
        <f t="array" ref="R186">IF($V$4=0,"",ROUND($V$4,1)-10+(186-11)*0.1)</f>
        <v>2530.6</v>
      </c>
      <c r="S186" s="28">
        <v>23000</v>
      </c>
      <c r="T186" t="str" s="30" cm="1">
        <f t="array" ref="T186">IF($E186="","",ROUND($G186/$D$8,0)*$D$8)</f>
      </c>
      <c r="U186" s="14"/>
      <c r="V186" s="8"/>
    </row>
    <row r="187" ht="13.55" customHeight="1">
      <c r="A187" t="str" s="30" cm="1">
        <f t="array" ref="A187">IF($E187="","",COUNT($E$11:$E187))</f>
      </c>
      <c r="B187" s="39"/>
      <c r="C187" s="39"/>
      <c r="D187" s="39"/>
      <c r="E187" t="str" s="30" cm="1">
        <f t="array" ref="E187">IF($D187="","",_xlfn.IFERROR(IF($I187=-1,IF($D187&lt;0.5,$D187*86400,IF($D187&lt;100,$D187*1440,$D187)),IF($I187=2,VALUE(LEFT($D187,$J187-1))*3600+VALUE(MID($D187,$J187+1,$K187-$J187-1))*60,IF($I187=1,VALUE(LEFT($D187,$J187-1))*60,0))+IF($M187=0,VALUE($L187),VALUE(LEFT($L187,$M187-1))+VALUE(MID($L187,$M187+1,10))/10^(LEN($L187)-$M187))),""))</f>
      </c>
      <c r="F187" t="str" s="30" cm="1">
        <f t="array" ref="F187">IF($E187="","",MAX(0,$I$7-$E187))</f>
      </c>
      <c r="G187" t="str" s="30" cm="1">
        <f t="array" ref="G187">IF($E187="","",$F187*$D$7)</f>
      </c>
      <c r="H187" t="str" s="30" cm="1">
        <f t="array" ref="H187">IF($E187="","",$T187+IF(AND($V$6&gt;=$D$8,COUNT($E$11:$E187)=$V$7+1),$D$8,0))</f>
      </c>
      <c r="I187" t="str" s="30" cm="1">
        <f t="array" ref="I187">IF($D187="","",IF(ISTEXT($D187),LEN($D187)-LEN(SUBSTITUTE($D187,":","")),-1))</f>
      </c>
      <c r="J187" s="29" cm="1">
        <f t="array" ref="J187">_xlfn.IFERROR(FIND(":",$D187),0)</f>
        <v>0</v>
      </c>
      <c r="K187" s="29" cm="1">
        <f t="array" ref="K187">_xlfn.IFERROR(FIND(":",$D187,$J187+1),0)</f>
        <v>0</v>
      </c>
      <c r="L187" t="str" s="30" cm="1">
        <f t="array" ref="L187">IF($D187="","",IF($I187=2,MID($D187,$K187+1,10),IF($I187=1,MID($D187,$J187+1,10),IF($I187=0,$D187,""))))</f>
      </c>
      <c r="M187" s="29" cm="1">
        <f t="array" ref="M187">IF($L187="",0,_xlfn.IFERROR(FIND(".",SUBSTITUTE($L187,",",".")),0))</f>
        <v>0</v>
      </c>
      <c r="N187" s="29" cm="1">
        <f t="array" ref="N187">IF($E187="",10^9,$E187)</f>
        <v>1000000000</v>
      </c>
      <c r="O187" t="str" s="30" cm="1">
        <f t="array" ref="O187">IF($E187="","",SUM($E$11:$E187))</f>
      </c>
      <c r="P187" t="str" s="30" cm="1">
        <f t="array" ref="P187">IF($E187="","",($D$6/$D$7+$O187)/COUNT($E$11:$E187))</f>
      </c>
      <c r="Q187" s="29" cm="1">
        <f t="array" ref="Q187">IF($E187="",0,IF(AND($E187&lt;$P187,OR($E188="",$P187&lt;=$E188)),1,0))</f>
        <v>0</v>
      </c>
      <c r="R187" s="27" cm="1">
        <f t="array" ref="R187">IF($V$4=0,"",ROUND($V$4,1)-10+(187-11)*0.1)</f>
        <v>2530.7</v>
      </c>
      <c r="S187" s="28">
        <v>23000</v>
      </c>
      <c r="T187" t="str" s="30" cm="1">
        <f t="array" ref="T187">IF($E187="","",ROUND($G187/$D$8,0)*$D$8)</f>
      </c>
      <c r="U187" s="14"/>
      <c r="V187" s="8"/>
    </row>
    <row r="188" ht="13.55" customHeight="1">
      <c r="A188" t="str" s="30" cm="1">
        <f t="array" ref="A188">IF($E188="","",COUNT($E$11:$E188))</f>
      </c>
      <c r="B188" s="39"/>
      <c r="C188" s="39"/>
      <c r="D188" s="39"/>
      <c r="E188" t="str" s="30" cm="1">
        <f t="array" ref="E188">IF($D188="","",_xlfn.IFERROR(IF($I188=-1,IF($D188&lt;0.5,$D188*86400,IF($D188&lt;100,$D188*1440,$D188)),IF($I188=2,VALUE(LEFT($D188,$J188-1))*3600+VALUE(MID($D188,$J188+1,$K188-$J188-1))*60,IF($I188=1,VALUE(LEFT($D188,$J188-1))*60,0))+IF($M188=0,VALUE($L188),VALUE(LEFT($L188,$M188-1))+VALUE(MID($L188,$M188+1,10))/10^(LEN($L188)-$M188))),""))</f>
      </c>
      <c r="F188" t="str" s="30" cm="1">
        <f t="array" ref="F188">IF($E188="","",MAX(0,$I$7-$E188))</f>
      </c>
      <c r="G188" t="str" s="30" cm="1">
        <f t="array" ref="G188">IF($E188="","",$F188*$D$7)</f>
      </c>
      <c r="H188" t="str" s="30" cm="1">
        <f t="array" ref="H188">IF($E188="","",$T188+IF(AND($V$6&gt;=$D$8,COUNT($E$11:$E188)=$V$7+1),$D$8,0))</f>
      </c>
      <c r="I188" t="str" s="30" cm="1">
        <f t="array" ref="I188">IF($D188="","",IF(ISTEXT($D188),LEN($D188)-LEN(SUBSTITUTE($D188,":","")),-1))</f>
      </c>
      <c r="J188" s="29" cm="1">
        <f t="array" ref="J188">_xlfn.IFERROR(FIND(":",$D188),0)</f>
        <v>0</v>
      </c>
      <c r="K188" s="29" cm="1">
        <f t="array" ref="K188">_xlfn.IFERROR(FIND(":",$D188,$J188+1),0)</f>
        <v>0</v>
      </c>
      <c r="L188" t="str" s="30" cm="1">
        <f t="array" ref="L188">IF($D188="","",IF($I188=2,MID($D188,$K188+1,10),IF($I188=1,MID($D188,$J188+1,10),IF($I188=0,$D188,""))))</f>
      </c>
      <c r="M188" s="29" cm="1">
        <f t="array" ref="M188">IF($L188="",0,_xlfn.IFERROR(FIND(".",SUBSTITUTE($L188,",",".")),0))</f>
        <v>0</v>
      </c>
      <c r="N188" s="29" cm="1">
        <f t="array" ref="N188">IF($E188="",10^9,$E188)</f>
        <v>1000000000</v>
      </c>
      <c r="O188" t="str" s="30" cm="1">
        <f t="array" ref="O188">IF($E188="","",SUM($E$11:$E188))</f>
      </c>
      <c r="P188" t="str" s="30" cm="1">
        <f t="array" ref="P188">IF($E188="","",($D$6/$D$7+$O188)/COUNT($E$11:$E188))</f>
      </c>
      <c r="Q188" s="29" cm="1">
        <f t="array" ref="Q188">IF($E188="",0,IF(AND($E188&lt;$P188,OR($E189="",$P188&lt;=$E189)),1,0))</f>
        <v>0</v>
      </c>
      <c r="R188" s="27" cm="1">
        <f t="array" ref="R188">IF($V$4=0,"",ROUND($V$4,1)-10+(188-11)*0.1)</f>
        <v>2530.8</v>
      </c>
      <c r="S188" s="28">
        <v>23000</v>
      </c>
      <c r="T188" t="str" s="30" cm="1">
        <f t="array" ref="T188">IF($E188="","",ROUND($G188/$D$8,0)*$D$8)</f>
      </c>
      <c r="U188" s="14"/>
      <c r="V188" s="8"/>
    </row>
    <row r="189" ht="13.55" customHeight="1">
      <c r="A189" t="str" s="30" cm="1">
        <f t="array" ref="A189">IF($E189="","",COUNT($E$11:$E189))</f>
      </c>
      <c r="B189" s="39"/>
      <c r="C189" s="39"/>
      <c r="D189" s="39"/>
      <c r="E189" t="str" s="30" cm="1">
        <f t="array" ref="E189">IF($D189="","",_xlfn.IFERROR(IF($I189=-1,IF($D189&lt;0.5,$D189*86400,IF($D189&lt;100,$D189*1440,$D189)),IF($I189=2,VALUE(LEFT($D189,$J189-1))*3600+VALUE(MID($D189,$J189+1,$K189-$J189-1))*60,IF($I189=1,VALUE(LEFT($D189,$J189-1))*60,0))+IF($M189=0,VALUE($L189),VALUE(LEFT($L189,$M189-1))+VALUE(MID($L189,$M189+1,10))/10^(LEN($L189)-$M189))),""))</f>
      </c>
      <c r="F189" t="str" s="30" cm="1">
        <f t="array" ref="F189">IF($E189="","",MAX(0,$I$7-$E189))</f>
      </c>
      <c r="G189" t="str" s="30" cm="1">
        <f t="array" ref="G189">IF($E189="","",$F189*$D$7)</f>
      </c>
      <c r="H189" t="str" s="30" cm="1">
        <f t="array" ref="H189">IF($E189="","",$T189+IF(AND($V$6&gt;=$D$8,COUNT($E$11:$E189)=$V$7+1),$D$8,0))</f>
      </c>
      <c r="I189" t="str" s="30" cm="1">
        <f t="array" ref="I189">IF($D189="","",IF(ISTEXT($D189),LEN($D189)-LEN(SUBSTITUTE($D189,":","")),-1))</f>
      </c>
      <c r="J189" s="29" cm="1">
        <f t="array" ref="J189">_xlfn.IFERROR(FIND(":",$D189),0)</f>
        <v>0</v>
      </c>
      <c r="K189" s="29" cm="1">
        <f t="array" ref="K189">_xlfn.IFERROR(FIND(":",$D189,$J189+1),0)</f>
        <v>0</v>
      </c>
      <c r="L189" t="str" s="30" cm="1">
        <f t="array" ref="L189">IF($D189="","",IF($I189=2,MID($D189,$K189+1,10),IF($I189=1,MID($D189,$J189+1,10),IF($I189=0,$D189,""))))</f>
      </c>
      <c r="M189" s="29" cm="1">
        <f t="array" ref="M189">IF($L189="",0,_xlfn.IFERROR(FIND(".",SUBSTITUTE($L189,",",".")),0))</f>
        <v>0</v>
      </c>
      <c r="N189" s="29" cm="1">
        <f t="array" ref="N189">IF($E189="",10^9,$E189)</f>
        <v>1000000000</v>
      </c>
      <c r="O189" t="str" s="30" cm="1">
        <f t="array" ref="O189">IF($E189="","",SUM($E$11:$E189))</f>
      </c>
      <c r="P189" t="str" s="30" cm="1">
        <f t="array" ref="P189">IF($E189="","",($D$6/$D$7+$O189)/COUNT($E$11:$E189))</f>
      </c>
      <c r="Q189" s="29" cm="1">
        <f t="array" ref="Q189">IF($E189="",0,IF(AND($E189&lt;$P189,OR($E190="",$P189&lt;=$E190)),1,0))</f>
        <v>0</v>
      </c>
      <c r="R189" s="27" cm="1">
        <f t="array" ref="R189">IF($V$4=0,"",ROUND($V$4,1)-10+(189-11)*0.1)</f>
        <v>2530.9</v>
      </c>
      <c r="S189" s="28">
        <v>23000</v>
      </c>
      <c r="T189" t="str" s="30" cm="1">
        <f t="array" ref="T189">IF($E189="","",ROUND($G189/$D$8,0)*$D$8)</f>
      </c>
      <c r="U189" s="14"/>
      <c r="V189" s="8"/>
    </row>
    <row r="190" ht="13.55" customHeight="1">
      <c r="A190" t="str" s="30" cm="1">
        <f t="array" ref="A190">IF($E190="","",COUNT($E$11:$E190))</f>
      </c>
      <c r="B190" s="39"/>
      <c r="C190" s="39"/>
      <c r="D190" s="39"/>
      <c r="E190" t="str" s="30" cm="1">
        <f t="array" ref="E190">IF($D190="","",_xlfn.IFERROR(IF($I190=-1,IF($D190&lt;0.5,$D190*86400,IF($D190&lt;100,$D190*1440,$D190)),IF($I190=2,VALUE(LEFT($D190,$J190-1))*3600+VALUE(MID($D190,$J190+1,$K190-$J190-1))*60,IF($I190=1,VALUE(LEFT($D190,$J190-1))*60,0))+IF($M190=0,VALUE($L190),VALUE(LEFT($L190,$M190-1))+VALUE(MID($L190,$M190+1,10))/10^(LEN($L190)-$M190))),""))</f>
      </c>
      <c r="F190" t="str" s="30" cm="1">
        <f t="array" ref="F190">IF($E190="","",MAX(0,$I$7-$E190))</f>
      </c>
      <c r="G190" t="str" s="30" cm="1">
        <f t="array" ref="G190">IF($E190="","",$F190*$D$7)</f>
      </c>
      <c r="H190" t="str" s="30" cm="1">
        <f t="array" ref="H190">IF($E190="","",$T190+IF(AND($V$6&gt;=$D$8,COUNT($E$11:$E190)=$V$7+1),$D$8,0))</f>
      </c>
      <c r="I190" t="str" s="30" cm="1">
        <f t="array" ref="I190">IF($D190="","",IF(ISTEXT($D190),LEN($D190)-LEN(SUBSTITUTE($D190,":","")),-1))</f>
      </c>
      <c r="J190" s="29" cm="1">
        <f t="array" ref="J190">_xlfn.IFERROR(FIND(":",$D190),0)</f>
        <v>0</v>
      </c>
      <c r="K190" s="29" cm="1">
        <f t="array" ref="K190">_xlfn.IFERROR(FIND(":",$D190,$J190+1),0)</f>
        <v>0</v>
      </c>
      <c r="L190" t="str" s="30" cm="1">
        <f t="array" ref="L190">IF($D190="","",IF($I190=2,MID($D190,$K190+1,10),IF($I190=1,MID($D190,$J190+1,10),IF($I190=0,$D190,""))))</f>
      </c>
      <c r="M190" s="29" cm="1">
        <f t="array" ref="M190">IF($L190="",0,_xlfn.IFERROR(FIND(".",SUBSTITUTE($L190,",",".")),0))</f>
        <v>0</v>
      </c>
      <c r="N190" s="29" cm="1">
        <f t="array" ref="N190">IF($E190="",10^9,$E190)</f>
        <v>1000000000</v>
      </c>
      <c r="O190" t="str" s="30" cm="1">
        <f t="array" ref="O190">IF($E190="","",SUM($E$11:$E190))</f>
      </c>
      <c r="P190" t="str" s="30" cm="1">
        <f t="array" ref="P190">IF($E190="","",($D$6/$D$7+$O190)/COUNT($E$11:$E190))</f>
      </c>
      <c r="Q190" s="29" cm="1">
        <f t="array" ref="Q190">IF($E190="",0,IF(AND($E190&lt;$P190,OR($E191="",$P190&lt;=$E191)),1,0))</f>
        <v>0</v>
      </c>
      <c r="R190" s="27" cm="1">
        <f t="array" ref="R190">IF($V$4=0,"",ROUND($V$4,1)-10+(190-11)*0.1)</f>
        <v>2531</v>
      </c>
      <c r="S190" s="28">
        <v>23000</v>
      </c>
      <c r="T190" t="str" s="30" cm="1">
        <f t="array" ref="T190">IF($E190="","",ROUND($G190/$D$8,0)*$D$8)</f>
      </c>
      <c r="U190" s="14"/>
      <c r="V190" s="8"/>
    </row>
    <row r="191" ht="13.55" customHeight="1">
      <c r="A191" t="str" s="30" cm="1">
        <f t="array" ref="A191">IF($E191="","",COUNT($E$11:$E191))</f>
      </c>
      <c r="B191" s="39"/>
      <c r="C191" s="39"/>
      <c r="D191" s="39"/>
      <c r="E191" t="str" s="30" cm="1">
        <f t="array" ref="E191">IF($D191="","",_xlfn.IFERROR(IF($I191=-1,IF($D191&lt;0.5,$D191*86400,IF($D191&lt;100,$D191*1440,$D191)),IF($I191=2,VALUE(LEFT($D191,$J191-1))*3600+VALUE(MID($D191,$J191+1,$K191-$J191-1))*60,IF($I191=1,VALUE(LEFT($D191,$J191-1))*60,0))+IF($M191=0,VALUE($L191),VALUE(LEFT($L191,$M191-1))+VALUE(MID($L191,$M191+1,10))/10^(LEN($L191)-$M191))),""))</f>
      </c>
      <c r="F191" t="str" s="30" cm="1">
        <f t="array" ref="F191">IF($E191="","",MAX(0,$I$7-$E191))</f>
      </c>
      <c r="G191" t="str" s="30" cm="1">
        <f t="array" ref="G191">IF($E191="","",$F191*$D$7)</f>
      </c>
      <c r="H191" t="str" s="30" cm="1">
        <f t="array" ref="H191">IF($E191="","",$T191+IF(AND($V$6&gt;=$D$8,COUNT($E$11:$E191)=$V$7+1),$D$8,0))</f>
      </c>
      <c r="I191" t="str" s="30" cm="1">
        <f t="array" ref="I191">IF($D191="","",IF(ISTEXT($D191),LEN($D191)-LEN(SUBSTITUTE($D191,":","")),-1))</f>
      </c>
      <c r="J191" s="29" cm="1">
        <f t="array" ref="J191">_xlfn.IFERROR(FIND(":",$D191),0)</f>
        <v>0</v>
      </c>
      <c r="K191" s="29" cm="1">
        <f t="array" ref="K191">_xlfn.IFERROR(FIND(":",$D191,$J191+1),0)</f>
        <v>0</v>
      </c>
      <c r="L191" t="str" s="30" cm="1">
        <f t="array" ref="L191">IF($D191="","",IF($I191=2,MID($D191,$K191+1,10),IF($I191=1,MID($D191,$J191+1,10),IF($I191=0,$D191,""))))</f>
      </c>
      <c r="M191" s="29" cm="1">
        <f t="array" ref="M191">IF($L191="",0,_xlfn.IFERROR(FIND(".",SUBSTITUTE($L191,",",".")),0))</f>
        <v>0</v>
      </c>
      <c r="N191" s="29" cm="1">
        <f t="array" ref="N191">IF($E191="",10^9,$E191)</f>
        <v>1000000000</v>
      </c>
      <c r="O191" t="str" s="30" cm="1">
        <f t="array" ref="O191">IF($E191="","",SUM($E$11:$E191))</f>
      </c>
      <c r="P191" t="str" s="30" cm="1">
        <f t="array" ref="P191">IF($E191="","",($D$6/$D$7+$O191)/COUNT($E$11:$E191))</f>
      </c>
      <c r="Q191" s="29" cm="1">
        <f t="array" ref="Q191">IF($E191="",0,IF(AND($E191&lt;$P191,OR($E192="",$P191&lt;=$E192)),1,0))</f>
        <v>0</v>
      </c>
      <c r="R191" s="27" cm="1">
        <f t="array" ref="R191">IF($V$4=0,"",ROUND($V$4,1)-10+(191-11)*0.1)</f>
        <v>2531.1</v>
      </c>
      <c r="S191" s="28">
        <v>23000</v>
      </c>
      <c r="T191" t="str" s="30" cm="1">
        <f t="array" ref="T191">IF($E191="","",ROUND($G191/$D$8,0)*$D$8)</f>
      </c>
      <c r="U191" s="14"/>
      <c r="V191" s="8"/>
    </row>
    <row r="192" ht="13.55" customHeight="1">
      <c r="A192" t="str" s="30" cm="1">
        <f t="array" ref="A192">IF($E192="","",COUNT($E$11:$E192))</f>
      </c>
      <c r="B192" s="39"/>
      <c r="C192" s="39"/>
      <c r="D192" s="39"/>
      <c r="E192" t="str" s="30" cm="1">
        <f t="array" ref="E192">IF($D192="","",_xlfn.IFERROR(IF($I192=-1,IF($D192&lt;0.5,$D192*86400,IF($D192&lt;100,$D192*1440,$D192)),IF($I192=2,VALUE(LEFT($D192,$J192-1))*3600+VALUE(MID($D192,$J192+1,$K192-$J192-1))*60,IF($I192=1,VALUE(LEFT($D192,$J192-1))*60,0))+IF($M192=0,VALUE($L192),VALUE(LEFT($L192,$M192-1))+VALUE(MID($L192,$M192+1,10))/10^(LEN($L192)-$M192))),""))</f>
      </c>
      <c r="F192" t="str" s="30" cm="1">
        <f t="array" ref="F192">IF($E192="","",MAX(0,$I$7-$E192))</f>
      </c>
      <c r="G192" t="str" s="30" cm="1">
        <f t="array" ref="G192">IF($E192="","",$F192*$D$7)</f>
      </c>
      <c r="H192" t="str" s="30" cm="1">
        <f t="array" ref="H192">IF($E192="","",$T192+IF(AND($V$6&gt;=$D$8,COUNT($E$11:$E192)=$V$7+1),$D$8,0))</f>
      </c>
      <c r="I192" t="str" s="30" cm="1">
        <f t="array" ref="I192">IF($D192="","",IF(ISTEXT($D192),LEN($D192)-LEN(SUBSTITUTE($D192,":","")),-1))</f>
      </c>
      <c r="J192" s="29" cm="1">
        <f t="array" ref="J192">_xlfn.IFERROR(FIND(":",$D192),0)</f>
        <v>0</v>
      </c>
      <c r="K192" s="29" cm="1">
        <f t="array" ref="K192">_xlfn.IFERROR(FIND(":",$D192,$J192+1),0)</f>
        <v>0</v>
      </c>
      <c r="L192" t="str" s="30" cm="1">
        <f t="array" ref="L192">IF($D192="","",IF($I192=2,MID($D192,$K192+1,10),IF($I192=1,MID($D192,$J192+1,10),IF($I192=0,$D192,""))))</f>
      </c>
      <c r="M192" s="29" cm="1">
        <f t="array" ref="M192">IF($L192="",0,_xlfn.IFERROR(FIND(".",SUBSTITUTE($L192,",",".")),0))</f>
        <v>0</v>
      </c>
      <c r="N192" s="29" cm="1">
        <f t="array" ref="N192">IF($E192="",10^9,$E192)</f>
        <v>1000000000</v>
      </c>
      <c r="O192" t="str" s="30" cm="1">
        <f t="array" ref="O192">IF($E192="","",SUM($E$11:$E192))</f>
      </c>
      <c r="P192" t="str" s="30" cm="1">
        <f t="array" ref="P192">IF($E192="","",($D$6/$D$7+$O192)/COUNT($E$11:$E192))</f>
      </c>
      <c r="Q192" s="29" cm="1">
        <f t="array" ref="Q192">IF($E192="",0,IF(AND($E192&lt;$P192,OR($E193="",$P192&lt;=$E193)),1,0))</f>
        <v>0</v>
      </c>
      <c r="R192" s="27" cm="1">
        <f t="array" ref="R192">IF($V$4=0,"",ROUND($V$4,1)-10+(192-11)*0.1)</f>
        <v>2531.2</v>
      </c>
      <c r="S192" s="28">
        <v>23000</v>
      </c>
      <c r="T192" t="str" s="30" cm="1">
        <f t="array" ref="T192">IF($E192="","",ROUND($G192/$D$8,0)*$D$8)</f>
      </c>
      <c r="U192" s="14"/>
      <c r="V192" s="8"/>
    </row>
    <row r="193" ht="13.55" customHeight="1">
      <c r="A193" t="str" s="30" cm="1">
        <f t="array" ref="A193">IF($E193="","",COUNT($E$11:$E193))</f>
      </c>
      <c r="B193" s="39"/>
      <c r="C193" s="39"/>
      <c r="D193" s="39"/>
      <c r="E193" t="str" s="30" cm="1">
        <f t="array" ref="E193">IF($D193="","",_xlfn.IFERROR(IF($I193=-1,IF($D193&lt;0.5,$D193*86400,IF($D193&lt;100,$D193*1440,$D193)),IF($I193=2,VALUE(LEFT($D193,$J193-1))*3600+VALUE(MID($D193,$J193+1,$K193-$J193-1))*60,IF($I193=1,VALUE(LEFT($D193,$J193-1))*60,0))+IF($M193=0,VALUE($L193),VALUE(LEFT($L193,$M193-1))+VALUE(MID($L193,$M193+1,10))/10^(LEN($L193)-$M193))),""))</f>
      </c>
      <c r="F193" t="str" s="30" cm="1">
        <f t="array" ref="F193">IF($E193="","",MAX(0,$I$7-$E193))</f>
      </c>
      <c r="G193" t="str" s="30" cm="1">
        <f t="array" ref="G193">IF($E193="","",$F193*$D$7)</f>
      </c>
      <c r="H193" t="str" s="30" cm="1">
        <f t="array" ref="H193">IF($E193="","",$T193+IF(AND($V$6&gt;=$D$8,COUNT($E$11:$E193)=$V$7+1),$D$8,0))</f>
      </c>
      <c r="I193" t="str" s="30" cm="1">
        <f t="array" ref="I193">IF($D193="","",IF(ISTEXT($D193),LEN($D193)-LEN(SUBSTITUTE($D193,":","")),-1))</f>
      </c>
      <c r="J193" s="29" cm="1">
        <f t="array" ref="J193">_xlfn.IFERROR(FIND(":",$D193),0)</f>
        <v>0</v>
      </c>
      <c r="K193" s="29" cm="1">
        <f t="array" ref="K193">_xlfn.IFERROR(FIND(":",$D193,$J193+1),0)</f>
        <v>0</v>
      </c>
      <c r="L193" t="str" s="30" cm="1">
        <f t="array" ref="L193">IF($D193="","",IF($I193=2,MID($D193,$K193+1,10),IF($I193=1,MID($D193,$J193+1,10),IF($I193=0,$D193,""))))</f>
      </c>
      <c r="M193" s="29" cm="1">
        <f t="array" ref="M193">IF($L193="",0,_xlfn.IFERROR(FIND(".",SUBSTITUTE($L193,",",".")),0))</f>
        <v>0</v>
      </c>
      <c r="N193" s="29" cm="1">
        <f t="array" ref="N193">IF($E193="",10^9,$E193)</f>
        <v>1000000000</v>
      </c>
      <c r="O193" t="str" s="30" cm="1">
        <f t="array" ref="O193">IF($E193="","",SUM($E$11:$E193))</f>
      </c>
      <c r="P193" t="str" s="30" cm="1">
        <f t="array" ref="P193">IF($E193="","",($D$6/$D$7+$O193)/COUNT($E$11:$E193))</f>
      </c>
      <c r="Q193" s="29" cm="1">
        <f t="array" ref="Q193">IF($E193="",0,IF(AND($E193&lt;$P193,OR($E194="",$P193&lt;=$E194)),1,0))</f>
        <v>0</v>
      </c>
      <c r="R193" s="27" cm="1">
        <f t="array" ref="R193">IF($V$4=0,"",ROUND($V$4,1)-10+(193-11)*0.1)</f>
        <v>2531.3</v>
      </c>
      <c r="S193" s="28">
        <v>23000</v>
      </c>
      <c r="T193" t="str" s="30" cm="1">
        <f t="array" ref="T193">IF($E193="","",ROUND($G193/$D$8,0)*$D$8)</f>
      </c>
      <c r="U193" s="14"/>
      <c r="V193" s="8"/>
    </row>
    <row r="194" ht="13.55" customHeight="1">
      <c r="A194" t="str" s="30" cm="1">
        <f t="array" ref="A194">IF($E194="","",COUNT($E$11:$E194))</f>
      </c>
      <c r="B194" s="39"/>
      <c r="C194" s="39"/>
      <c r="D194" s="39"/>
      <c r="E194" t="str" s="30" cm="1">
        <f t="array" ref="E194">IF($D194="","",_xlfn.IFERROR(IF($I194=-1,IF($D194&lt;0.5,$D194*86400,IF($D194&lt;100,$D194*1440,$D194)),IF($I194=2,VALUE(LEFT($D194,$J194-1))*3600+VALUE(MID($D194,$J194+1,$K194-$J194-1))*60,IF($I194=1,VALUE(LEFT($D194,$J194-1))*60,0))+IF($M194=0,VALUE($L194),VALUE(LEFT($L194,$M194-1))+VALUE(MID($L194,$M194+1,10))/10^(LEN($L194)-$M194))),""))</f>
      </c>
      <c r="F194" t="str" s="30" cm="1">
        <f t="array" ref="F194">IF($E194="","",MAX(0,$I$7-$E194))</f>
      </c>
      <c r="G194" t="str" s="30" cm="1">
        <f t="array" ref="G194">IF($E194="","",$F194*$D$7)</f>
      </c>
      <c r="H194" t="str" s="30" cm="1">
        <f t="array" ref="H194">IF($E194="","",$T194+IF(AND($V$6&gt;=$D$8,COUNT($E$11:$E194)=$V$7+1),$D$8,0))</f>
      </c>
      <c r="I194" t="str" s="30" cm="1">
        <f t="array" ref="I194">IF($D194="","",IF(ISTEXT($D194),LEN($D194)-LEN(SUBSTITUTE($D194,":","")),-1))</f>
      </c>
      <c r="J194" s="29" cm="1">
        <f t="array" ref="J194">_xlfn.IFERROR(FIND(":",$D194),0)</f>
        <v>0</v>
      </c>
      <c r="K194" s="29" cm="1">
        <f t="array" ref="K194">_xlfn.IFERROR(FIND(":",$D194,$J194+1),0)</f>
        <v>0</v>
      </c>
      <c r="L194" t="str" s="30" cm="1">
        <f t="array" ref="L194">IF($D194="","",IF($I194=2,MID($D194,$K194+1,10),IF($I194=1,MID($D194,$J194+1,10),IF($I194=0,$D194,""))))</f>
      </c>
      <c r="M194" s="29" cm="1">
        <f t="array" ref="M194">IF($L194="",0,_xlfn.IFERROR(FIND(".",SUBSTITUTE($L194,",",".")),0))</f>
        <v>0</v>
      </c>
      <c r="N194" s="29" cm="1">
        <f t="array" ref="N194">IF($E194="",10^9,$E194)</f>
        <v>1000000000</v>
      </c>
      <c r="O194" t="str" s="30" cm="1">
        <f t="array" ref="O194">IF($E194="","",SUM($E$11:$E194))</f>
      </c>
      <c r="P194" t="str" s="30" cm="1">
        <f t="array" ref="P194">IF($E194="","",($D$6/$D$7+$O194)/COUNT($E$11:$E194))</f>
      </c>
      <c r="Q194" s="29" cm="1">
        <f t="array" ref="Q194">IF($E194="",0,IF(AND($E194&lt;$P194,OR($E195="",$P194&lt;=$E195)),1,0))</f>
        <v>0</v>
      </c>
      <c r="R194" s="27" cm="1">
        <f t="array" ref="R194">IF($V$4=0,"",ROUND($V$4,1)-10+(194-11)*0.1)</f>
        <v>2531.4</v>
      </c>
      <c r="S194" s="28">
        <v>23000</v>
      </c>
      <c r="T194" t="str" s="30" cm="1">
        <f t="array" ref="T194">IF($E194="","",ROUND($G194/$D$8,0)*$D$8)</f>
      </c>
      <c r="U194" s="14"/>
      <c r="V194" s="8"/>
    </row>
    <row r="195" ht="13.55" customHeight="1">
      <c r="A195" t="str" s="30" cm="1">
        <f t="array" ref="A195">IF($E195="","",COUNT($E$11:$E195))</f>
      </c>
      <c r="B195" s="39"/>
      <c r="C195" s="39"/>
      <c r="D195" s="39"/>
      <c r="E195" t="str" s="30" cm="1">
        <f t="array" ref="E195">IF($D195="","",_xlfn.IFERROR(IF($I195=-1,IF($D195&lt;0.5,$D195*86400,IF($D195&lt;100,$D195*1440,$D195)),IF($I195=2,VALUE(LEFT($D195,$J195-1))*3600+VALUE(MID($D195,$J195+1,$K195-$J195-1))*60,IF($I195=1,VALUE(LEFT($D195,$J195-1))*60,0))+IF($M195=0,VALUE($L195),VALUE(LEFT($L195,$M195-1))+VALUE(MID($L195,$M195+1,10))/10^(LEN($L195)-$M195))),""))</f>
      </c>
      <c r="F195" t="str" s="30" cm="1">
        <f t="array" ref="F195">IF($E195="","",MAX(0,$I$7-$E195))</f>
      </c>
      <c r="G195" t="str" s="30" cm="1">
        <f t="array" ref="G195">IF($E195="","",$F195*$D$7)</f>
      </c>
      <c r="H195" t="str" s="30" cm="1">
        <f t="array" ref="H195">IF($E195="","",$T195+IF(AND($V$6&gt;=$D$8,COUNT($E$11:$E195)=$V$7+1),$D$8,0))</f>
      </c>
      <c r="I195" t="str" s="30" cm="1">
        <f t="array" ref="I195">IF($D195="","",IF(ISTEXT($D195),LEN($D195)-LEN(SUBSTITUTE($D195,":","")),-1))</f>
      </c>
      <c r="J195" s="29" cm="1">
        <f t="array" ref="J195">_xlfn.IFERROR(FIND(":",$D195),0)</f>
        <v>0</v>
      </c>
      <c r="K195" s="29" cm="1">
        <f t="array" ref="K195">_xlfn.IFERROR(FIND(":",$D195,$J195+1),0)</f>
        <v>0</v>
      </c>
      <c r="L195" t="str" s="30" cm="1">
        <f t="array" ref="L195">IF($D195="","",IF($I195=2,MID($D195,$K195+1,10),IF($I195=1,MID($D195,$J195+1,10),IF($I195=0,$D195,""))))</f>
      </c>
      <c r="M195" s="29" cm="1">
        <f t="array" ref="M195">IF($L195="",0,_xlfn.IFERROR(FIND(".",SUBSTITUTE($L195,",",".")),0))</f>
        <v>0</v>
      </c>
      <c r="N195" s="29" cm="1">
        <f t="array" ref="N195">IF($E195="",10^9,$E195)</f>
        <v>1000000000</v>
      </c>
      <c r="O195" t="str" s="30" cm="1">
        <f t="array" ref="O195">IF($E195="","",SUM($E$11:$E195))</f>
      </c>
      <c r="P195" t="str" s="30" cm="1">
        <f t="array" ref="P195">IF($E195="","",($D$6/$D$7+$O195)/COUNT($E$11:$E195))</f>
      </c>
      <c r="Q195" s="29" cm="1">
        <f t="array" ref="Q195">IF($E195="",0,IF(AND($E195&lt;$P195,OR($E196="",$P195&lt;=$E196)),1,0))</f>
        <v>0</v>
      </c>
      <c r="R195" s="27" cm="1">
        <f t="array" ref="R195">IF($V$4=0,"",ROUND($V$4,1)-10+(195-11)*0.1)</f>
        <v>2531.5</v>
      </c>
      <c r="S195" s="28">
        <v>23000</v>
      </c>
      <c r="T195" t="str" s="30" cm="1">
        <f t="array" ref="T195">IF($E195="","",ROUND($G195/$D$8,0)*$D$8)</f>
      </c>
      <c r="U195" s="14"/>
      <c r="V195" s="8"/>
    </row>
    <row r="196" ht="13.55" customHeight="1">
      <c r="A196" t="str" s="30" cm="1">
        <f t="array" ref="A196">IF($E196="","",COUNT($E$11:$E196))</f>
      </c>
      <c r="B196" s="39"/>
      <c r="C196" s="39"/>
      <c r="D196" s="39"/>
      <c r="E196" t="str" s="30" cm="1">
        <f t="array" ref="E196">IF($D196="","",_xlfn.IFERROR(IF($I196=-1,IF($D196&lt;0.5,$D196*86400,IF($D196&lt;100,$D196*1440,$D196)),IF($I196=2,VALUE(LEFT($D196,$J196-1))*3600+VALUE(MID($D196,$J196+1,$K196-$J196-1))*60,IF($I196=1,VALUE(LEFT($D196,$J196-1))*60,0))+IF($M196=0,VALUE($L196),VALUE(LEFT($L196,$M196-1))+VALUE(MID($L196,$M196+1,10))/10^(LEN($L196)-$M196))),""))</f>
      </c>
      <c r="F196" t="str" s="30" cm="1">
        <f t="array" ref="F196">IF($E196="","",MAX(0,$I$7-$E196))</f>
      </c>
      <c r="G196" t="str" s="30" cm="1">
        <f t="array" ref="G196">IF($E196="","",$F196*$D$7)</f>
      </c>
      <c r="H196" t="str" s="30" cm="1">
        <f t="array" ref="H196">IF($E196="","",$T196+IF(AND($V$6&gt;=$D$8,COUNT($E$11:$E196)=$V$7+1),$D$8,0))</f>
      </c>
      <c r="I196" t="str" s="30" cm="1">
        <f t="array" ref="I196">IF($D196="","",IF(ISTEXT($D196),LEN($D196)-LEN(SUBSTITUTE($D196,":","")),-1))</f>
      </c>
      <c r="J196" s="29" cm="1">
        <f t="array" ref="J196">_xlfn.IFERROR(FIND(":",$D196),0)</f>
        <v>0</v>
      </c>
      <c r="K196" s="29" cm="1">
        <f t="array" ref="K196">_xlfn.IFERROR(FIND(":",$D196,$J196+1),0)</f>
        <v>0</v>
      </c>
      <c r="L196" t="str" s="30" cm="1">
        <f t="array" ref="L196">IF($D196="","",IF($I196=2,MID($D196,$K196+1,10),IF($I196=1,MID($D196,$J196+1,10),IF($I196=0,$D196,""))))</f>
      </c>
      <c r="M196" s="29" cm="1">
        <f t="array" ref="M196">IF($L196="",0,_xlfn.IFERROR(FIND(".",SUBSTITUTE($L196,",",".")),0))</f>
        <v>0</v>
      </c>
      <c r="N196" s="29" cm="1">
        <f t="array" ref="N196">IF($E196="",10^9,$E196)</f>
        <v>1000000000</v>
      </c>
      <c r="O196" t="str" s="30" cm="1">
        <f t="array" ref="O196">IF($E196="","",SUM($E$11:$E196))</f>
      </c>
      <c r="P196" t="str" s="30" cm="1">
        <f t="array" ref="P196">IF($E196="","",($D$6/$D$7+$O196)/COUNT($E$11:$E196))</f>
      </c>
      <c r="Q196" s="29" cm="1">
        <f t="array" ref="Q196">IF($E196="",0,IF(AND($E196&lt;$P196,OR($E197="",$P196&lt;=$E197)),1,0))</f>
        <v>0</v>
      </c>
      <c r="R196" s="27" cm="1">
        <f t="array" ref="R196">IF($V$4=0,"",ROUND($V$4,1)-10+(196-11)*0.1)</f>
        <v>2531.6</v>
      </c>
      <c r="S196" s="28">
        <v>23000</v>
      </c>
      <c r="T196" t="str" s="30" cm="1">
        <f t="array" ref="T196">IF($E196="","",ROUND($G196/$D$8,0)*$D$8)</f>
      </c>
      <c r="U196" s="14"/>
      <c r="V196" s="8"/>
    </row>
    <row r="197" ht="13.55" customHeight="1">
      <c r="A197" t="str" s="30" cm="1">
        <f t="array" ref="A197">IF($E197="","",COUNT($E$11:$E197))</f>
      </c>
      <c r="B197" s="39"/>
      <c r="C197" s="39"/>
      <c r="D197" s="39"/>
      <c r="E197" t="str" s="30" cm="1">
        <f t="array" ref="E197">IF($D197="","",_xlfn.IFERROR(IF($I197=-1,IF($D197&lt;0.5,$D197*86400,IF($D197&lt;100,$D197*1440,$D197)),IF($I197=2,VALUE(LEFT($D197,$J197-1))*3600+VALUE(MID($D197,$J197+1,$K197-$J197-1))*60,IF($I197=1,VALUE(LEFT($D197,$J197-1))*60,0))+IF($M197=0,VALUE($L197),VALUE(LEFT($L197,$M197-1))+VALUE(MID($L197,$M197+1,10))/10^(LEN($L197)-$M197))),""))</f>
      </c>
      <c r="F197" t="str" s="30" cm="1">
        <f t="array" ref="F197">IF($E197="","",MAX(0,$I$7-$E197))</f>
      </c>
      <c r="G197" t="str" s="30" cm="1">
        <f t="array" ref="G197">IF($E197="","",$F197*$D$7)</f>
      </c>
      <c r="H197" t="str" s="30" cm="1">
        <f t="array" ref="H197">IF($E197="","",$T197+IF(AND($V$6&gt;=$D$8,COUNT($E$11:$E197)=$V$7+1),$D$8,0))</f>
      </c>
      <c r="I197" t="str" s="30" cm="1">
        <f t="array" ref="I197">IF($D197="","",IF(ISTEXT($D197),LEN($D197)-LEN(SUBSTITUTE($D197,":","")),-1))</f>
      </c>
      <c r="J197" s="29" cm="1">
        <f t="array" ref="J197">_xlfn.IFERROR(FIND(":",$D197),0)</f>
        <v>0</v>
      </c>
      <c r="K197" s="29" cm="1">
        <f t="array" ref="K197">_xlfn.IFERROR(FIND(":",$D197,$J197+1),0)</f>
        <v>0</v>
      </c>
      <c r="L197" t="str" s="30" cm="1">
        <f t="array" ref="L197">IF($D197="","",IF($I197=2,MID($D197,$K197+1,10),IF($I197=1,MID($D197,$J197+1,10),IF($I197=0,$D197,""))))</f>
      </c>
      <c r="M197" s="29" cm="1">
        <f t="array" ref="M197">IF($L197="",0,_xlfn.IFERROR(FIND(".",SUBSTITUTE($L197,",",".")),0))</f>
        <v>0</v>
      </c>
      <c r="N197" s="29" cm="1">
        <f t="array" ref="N197">IF($E197="",10^9,$E197)</f>
        <v>1000000000</v>
      </c>
      <c r="O197" t="str" s="30" cm="1">
        <f t="array" ref="O197">IF($E197="","",SUM($E$11:$E197))</f>
      </c>
      <c r="P197" t="str" s="30" cm="1">
        <f t="array" ref="P197">IF($E197="","",($D$6/$D$7+$O197)/COUNT($E$11:$E197))</f>
      </c>
      <c r="Q197" s="29" cm="1">
        <f t="array" ref="Q197">IF($E197="",0,IF(AND($E197&lt;$P197,OR($E198="",$P197&lt;=$E198)),1,0))</f>
        <v>0</v>
      </c>
      <c r="R197" s="27" cm="1">
        <f t="array" ref="R197">IF($V$4=0,"",ROUND($V$4,1)-10+(197-11)*0.1)</f>
        <v>2531.7</v>
      </c>
      <c r="S197" s="28">
        <v>23000</v>
      </c>
      <c r="T197" t="str" s="30" cm="1">
        <f t="array" ref="T197">IF($E197="","",ROUND($G197/$D$8,0)*$D$8)</f>
      </c>
      <c r="U197" s="14"/>
      <c r="V197" s="8"/>
    </row>
    <row r="198" ht="13.55" customHeight="1">
      <c r="A198" t="str" s="30" cm="1">
        <f t="array" ref="A198">IF($E198="","",COUNT($E$11:$E198))</f>
      </c>
      <c r="B198" s="39"/>
      <c r="C198" s="39"/>
      <c r="D198" s="39"/>
      <c r="E198" t="str" s="30" cm="1">
        <f t="array" ref="E198">IF($D198="","",_xlfn.IFERROR(IF($I198=-1,IF($D198&lt;0.5,$D198*86400,IF($D198&lt;100,$D198*1440,$D198)),IF($I198=2,VALUE(LEFT($D198,$J198-1))*3600+VALUE(MID($D198,$J198+1,$K198-$J198-1))*60,IF($I198=1,VALUE(LEFT($D198,$J198-1))*60,0))+IF($M198=0,VALUE($L198),VALUE(LEFT($L198,$M198-1))+VALUE(MID($L198,$M198+1,10))/10^(LEN($L198)-$M198))),""))</f>
      </c>
      <c r="F198" t="str" s="30" cm="1">
        <f t="array" ref="F198">IF($E198="","",MAX(0,$I$7-$E198))</f>
      </c>
      <c r="G198" t="str" s="30" cm="1">
        <f t="array" ref="G198">IF($E198="","",$F198*$D$7)</f>
      </c>
      <c r="H198" t="str" s="30" cm="1">
        <f t="array" ref="H198">IF($E198="","",$T198+IF(AND($V$6&gt;=$D$8,COUNT($E$11:$E198)=$V$7+1),$D$8,0))</f>
      </c>
      <c r="I198" t="str" s="30" cm="1">
        <f t="array" ref="I198">IF($D198="","",IF(ISTEXT($D198),LEN($D198)-LEN(SUBSTITUTE($D198,":","")),-1))</f>
      </c>
      <c r="J198" s="29" cm="1">
        <f t="array" ref="J198">_xlfn.IFERROR(FIND(":",$D198),0)</f>
        <v>0</v>
      </c>
      <c r="K198" s="29" cm="1">
        <f t="array" ref="K198">_xlfn.IFERROR(FIND(":",$D198,$J198+1),0)</f>
        <v>0</v>
      </c>
      <c r="L198" t="str" s="30" cm="1">
        <f t="array" ref="L198">IF($D198="","",IF($I198=2,MID($D198,$K198+1,10),IF($I198=1,MID($D198,$J198+1,10),IF($I198=0,$D198,""))))</f>
      </c>
      <c r="M198" s="29" cm="1">
        <f t="array" ref="M198">IF($L198="",0,_xlfn.IFERROR(FIND(".",SUBSTITUTE($L198,",",".")),0))</f>
        <v>0</v>
      </c>
      <c r="N198" s="29" cm="1">
        <f t="array" ref="N198">IF($E198="",10^9,$E198)</f>
        <v>1000000000</v>
      </c>
      <c r="O198" t="str" s="30" cm="1">
        <f t="array" ref="O198">IF($E198="","",SUM($E$11:$E198))</f>
      </c>
      <c r="P198" t="str" s="30" cm="1">
        <f t="array" ref="P198">IF($E198="","",($D$6/$D$7+$O198)/COUNT($E$11:$E198))</f>
      </c>
      <c r="Q198" s="29" cm="1">
        <f t="array" ref="Q198">IF($E198="",0,IF(AND($E198&lt;$P198,OR($E199="",$P198&lt;=$E199)),1,0))</f>
        <v>0</v>
      </c>
      <c r="R198" s="27" cm="1">
        <f t="array" ref="R198">IF($V$4=0,"",ROUND($V$4,1)-10+(198-11)*0.1)</f>
        <v>2531.8</v>
      </c>
      <c r="S198" s="28">
        <v>23000</v>
      </c>
      <c r="T198" t="str" s="30" cm="1">
        <f t="array" ref="T198">IF($E198="","",ROUND($G198/$D$8,0)*$D$8)</f>
      </c>
      <c r="U198" s="14"/>
      <c r="V198" s="8"/>
    </row>
    <row r="199" ht="13.55" customHeight="1">
      <c r="A199" t="str" s="30" cm="1">
        <f t="array" ref="A199">IF($E199="","",COUNT($E$11:$E199))</f>
      </c>
      <c r="B199" s="39"/>
      <c r="C199" s="39"/>
      <c r="D199" s="39"/>
      <c r="E199" t="str" s="30" cm="1">
        <f t="array" ref="E199">IF($D199="","",_xlfn.IFERROR(IF($I199=-1,IF($D199&lt;0.5,$D199*86400,IF($D199&lt;100,$D199*1440,$D199)),IF($I199=2,VALUE(LEFT($D199,$J199-1))*3600+VALUE(MID($D199,$J199+1,$K199-$J199-1))*60,IF($I199=1,VALUE(LEFT($D199,$J199-1))*60,0))+IF($M199=0,VALUE($L199),VALUE(LEFT($L199,$M199-1))+VALUE(MID($L199,$M199+1,10))/10^(LEN($L199)-$M199))),""))</f>
      </c>
      <c r="F199" t="str" s="30" cm="1">
        <f t="array" ref="F199">IF($E199="","",MAX(0,$I$7-$E199))</f>
      </c>
      <c r="G199" t="str" s="30" cm="1">
        <f t="array" ref="G199">IF($E199="","",$F199*$D$7)</f>
      </c>
      <c r="H199" t="str" s="30" cm="1">
        <f t="array" ref="H199">IF($E199="","",$T199+IF(AND($V$6&gt;=$D$8,COUNT($E$11:$E199)=$V$7+1),$D$8,0))</f>
      </c>
      <c r="I199" t="str" s="30" cm="1">
        <f t="array" ref="I199">IF($D199="","",IF(ISTEXT($D199),LEN($D199)-LEN(SUBSTITUTE($D199,":","")),-1))</f>
      </c>
      <c r="J199" s="29" cm="1">
        <f t="array" ref="J199">_xlfn.IFERROR(FIND(":",$D199),0)</f>
        <v>0</v>
      </c>
      <c r="K199" s="29" cm="1">
        <f t="array" ref="K199">_xlfn.IFERROR(FIND(":",$D199,$J199+1),0)</f>
        <v>0</v>
      </c>
      <c r="L199" t="str" s="30" cm="1">
        <f t="array" ref="L199">IF($D199="","",IF($I199=2,MID($D199,$K199+1,10),IF($I199=1,MID($D199,$J199+1,10),IF($I199=0,$D199,""))))</f>
      </c>
      <c r="M199" s="29" cm="1">
        <f t="array" ref="M199">IF($L199="",0,_xlfn.IFERROR(FIND(".",SUBSTITUTE($L199,",",".")),0))</f>
        <v>0</v>
      </c>
      <c r="N199" s="29" cm="1">
        <f t="array" ref="N199">IF($E199="",10^9,$E199)</f>
        <v>1000000000</v>
      </c>
      <c r="O199" t="str" s="30" cm="1">
        <f t="array" ref="O199">IF($E199="","",SUM($E$11:$E199))</f>
      </c>
      <c r="P199" t="str" s="30" cm="1">
        <f t="array" ref="P199">IF($E199="","",($D$6/$D$7+$O199)/COUNT($E$11:$E199))</f>
      </c>
      <c r="Q199" s="29" cm="1">
        <f t="array" ref="Q199">IF($E199="",0,IF(AND($E199&lt;$P199,OR($E200="",$P199&lt;=$E200)),1,0))</f>
        <v>0</v>
      </c>
      <c r="R199" s="27" cm="1">
        <f t="array" ref="R199">IF($V$4=0,"",ROUND($V$4,1)-10+(199-11)*0.1)</f>
        <v>2531.9</v>
      </c>
      <c r="S199" s="28">
        <v>23000</v>
      </c>
      <c r="T199" t="str" s="30" cm="1">
        <f t="array" ref="T199">IF($E199="","",ROUND($G199/$D$8,0)*$D$8)</f>
      </c>
      <c r="U199" s="14"/>
      <c r="V199" s="8"/>
    </row>
    <row r="200" ht="13.55" customHeight="1">
      <c r="A200" t="str" s="30" cm="1">
        <f t="array" ref="A200">IF($E200="","",COUNT($E$11:$E200))</f>
      </c>
      <c r="B200" s="39"/>
      <c r="C200" s="39"/>
      <c r="D200" s="39"/>
      <c r="E200" t="str" s="30" cm="1">
        <f t="array" ref="E200">IF($D200="","",_xlfn.IFERROR(IF($I200=-1,IF($D200&lt;0.5,$D200*86400,IF($D200&lt;100,$D200*1440,$D200)),IF($I200=2,VALUE(LEFT($D200,$J200-1))*3600+VALUE(MID($D200,$J200+1,$K200-$J200-1))*60,IF($I200=1,VALUE(LEFT($D200,$J200-1))*60,0))+IF($M200=0,VALUE($L200),VALUE(LEFT($L200,$M200-1))+VALUE(MID($L200,$M200+1,10))/10^(LEN($L200)-$M200))),""))</f>
      </c>
      <c r="F200" t="str" s="30" cm="1">
        <f t="array" ref="F200">IF($E200="","",MAX(0,$I$7-$E200))</f>
      </c>
      <c r="G200" t="str" s="30" cm="1">
        <f t="array" ref="G200">IF($E200="","",$F200*$D$7)</f>
      </c>
      <c r="H200" t="str" s="30" cm="1">
        <f t="array" ref="H200">IF($E200="","",$T200+IF(AND($V$6&gt;=$D$8,COUNT($E$11:$E200)=$V$7+1),$D$8,0))</f>
      </c>
      <c r="I200" t="str" s="30" cm="1">
        <f t="array" ref="I200">IF($D200="","",IF(ISTEXT($D200),LEN($D200)-LEN(SUBSTITUTE($D200,":","")),-1))</f>
      </c>
      <c r="J200" s="29" cm="1">
        <f t="array" ref="J200">_xlfn.IFERROR(FIND(":",$D200),0)</f>
        <v>0</v>
      </c>
      <c r="K200" s="29" cm="1">
        <f t="array" ref="K200">_xlfn.IFERROR(FIND(":",$D200,$J200+1),0)</f>
        <v>0</v>
      </c>
      <c r="L200" t="str" s="30" cm="1">
        <f t="array" ref="L200">IF($D200="","",IF($I200=2,MID($D200,$K200+1,10),IF($I200=1,MID($D200,$J200+1,10),IF($I200=0,$D200,""))))</f>
      </c>
      <c r="M200" s="29" cm="1">
        <f t="array" ref="M200">IF($L200="",0,_xlfn.IFERROR(FIND(".",SUBSTITUTE($L200,",",".")),0))</f>
        <v>0</v>
      </c>
      <c r="N200" s="29" cm="1">
        <f t="array" ref="N200">IF($E200="",10^9,$E200)</f>
        <v>1000000000</v>
      </c>
      <c r="O200" t="str" s="30" cm="1">
        <f t="array" ref="O200">IF($E200="","",SUM($E$11:$E200))</f>
      </c>
      <c r="P200" t="str" s="30" cm="1">
        <f t="array" ref="P200">IF($E200="","",($D$6/$D$7+$O200)/COUNT($E$11:$E200))</f>
      </c>
      <c r="Q200" s="29" cm="1">
        <f t="array" ref="Q200">IF($E200="",0,IF(AND($E200&lt;$P200,OR($E201="",$P200&lt;=$E201)),1,0))</f>
        <v>0</v>
      </c>
      <c r="R200" s="27" cm="1">
        <f t="array" ref="R200">IF($V$4=0,"",ROUND($V$4,1)-10+(200-11)*0.1)</f>
        <v>2532</v>
      </c>
      <c r="S200" s="28">
        <v>23000</v>
      </c>
      <c r="T200" t="str" s="30" cm="1">
        <f t="array" ref="T200">IF($E200="","",ROUND($G200/$D$8,0)*$D$8)</f>
      </c>
      <c r="U200" s="14"/>
      <c r="V200" s="8"/>
    </row>
    <row r="201" ht="13.55" customHeight="1">
      <c r="A201" t="str" s="30" cm="1">
        <f t="array" ref="A201">IF($E201="","",COUNT($E$11:$E201))</f>
      </c>
      <c r="B201" s="39"/>
      <c r="C201" s="39"/>
      <c r="D201" s="39"/>
      <c r="E201" t="str" s="30" cm="1">
        <f t="array" ref="E201">IF($D201="","",_xlfn.IFERROR(IF($I201=-1,IF($D201&lt;0.5,$D201*86400,IF($D201&lt;100,$D201*1440,$D201)),IF($I201=2,VALUE(LEFT($D201,$J201-1))*3600+VALUE(MID($D201,$J201+1,$K201-$J201-1))*60,IF($I201=1,VALUE(LEFT($D201,$J201-1))*60,0))+IF($M201=0,VALUE($L201),VALUE(LEFT($L201,$M201-1))+VALUE(MID($L201,$M201+1,10))/10^(LEN($L201)-$M201))),""))</f>
      </c>
      <c r="F201" t="str" s="30" cm="1">
        <f t="array" ref="F201">IF($E201="","",MAX(0,$I$7-$E201))</f>
      </c>
      <c r="G201" t="str" s="30" cm="1">
        <f t="array" ref="G201">IF($E201="","",$F201*$D$7)</f>
      </c>
      <c r="H201" t="str" s="30" cm="1">
        <f t="array" ref="H201">IF($E201="","",$T201+IF(AND($V$6&gt;=$D$8,COUNT($E$11:$E201)=$V$7+1),$D$8,0))</f>
      </c>
      <c r="I201" t="str" s="30" cm="1">
        <f t="array" ref="I201">IF($D201="","",IF(ISTEXT($D201),LEN($D201)-LEN(SUBSTITUTE($D201,":","")),-1))</f>
      </c>
      <c r="J201" s="29" cm="1">
        <f t="array" ref="J201">_xlfn.IFERROR(FIND(":",$D201),0)</f>
        <v>0</v>
      </c>
      <c r="K201" s="29" cm="1">
        <f t="array" ref="K201">_xlfn.IFERROR(FIND(":",$D201,$J201+1),0)</f>
        <v>0</v>
      </c>
      <c r="L201" t="str" s="30" cm="1">
        <f t="array" ref="L201">IF($D201="","",IF($I201=2,MID($D201,$K201+1,10),IF($I201=1,MID($D201,$J201+1,10),IF($I201=0,$D201,""))))</f>
      </c>
      <c r="M201" s="29" cm="1">
        <f t="array" ref="M201">IF($L201="",0,_xlfn.IFERROR(FIND(".",SUBSTITUTE($L201,",",".")),0))</f>
        <v>0</v>
      </c>
      <c r="N201" s="29" cm="1">
        <f t="array" ref="N201">IF($E201="",10^9,$E201)</f>
        <v>1000000000</v>
      </c>
      <c r="O201" t="str" s="30" cm="1">
        <f t="array" ref="O201">IF($E201="","",SUM($E$11:$E201))</f>
      </c>
      <c r="P201" t="str" s="30" cm="1">
        <f t="array" ref="P201">IF($E201="","",($D$6/$D$7+$O201)/COUNT($E$11:$E201))</f>
      </c>
      <c r="Q201" s="29" cm="1">
        <f t="array" ref="Q201">IF($E201="",0,IF(AND($E201&lt;$P201,OR($E202="",$P201&lt;=$E202)),1,0))</f>
        <v>0</v>
      </c>
      <c r="R201" s="27" cm="1">
        <f t="array" ref="R201">IF($V$4=0,"",ROUND($V$4,1)-10+(201-11)*0.1)</f>
        <v>2532.1</v>
      </c>
      <c r="S201" s="28">
        <v>23000</v>
      </c>
      <c r="T201" t="str" s="30" cm="1">
        <f t="array" ref="T201">IF($E201="","",ROUND($G201/$D$8,0)*$D$8)</f>
      </c>
      <c r="U201" s="14"/>
      <c r="V201" s="8"/>
    </row>
    <row r="202" ht="13.55" customHeight="1">
      <c r="A202" t="str" s="30" cm="1">
        <f t="array" ref="A202">IF($E202="","",COUNT($E$11:$E202))</f>
      </c>
      <c r="B202" s="39"/>
      <c r="C202" s="39"/>
      <c r="D202" s="39"/>
      <c r="E202" t="str" s="30" cm="1">
        <f t="array" ref="E202">IF($D202="","",_xlfn.IFERROR(IF($I202=-1,IF($D202&lt;0.5,$D202*86400,IF($D202&lt;100,$D202*1440,$D202)),IF($I202=2,VALUE(LEFT($D202,$J202-1))*3600+VALUE(MID($D202,$J202+1,$K202-$J202-1))*60,IF($I202=1,VALUE(LEFT($D202,$J202-1))*60,0))+IF($M202=0,VALUE($L202),VALUE(LEFT($L202,$M202-1))+VALUE(MID($L202,$M202+1,10))/10^(LEN($L202)-$M202))),""))</f>
      </c>
      <c r="F202" t="str" s="30" cm="1">
        <f t="array" ref="F202">IF($E202="","",MAX(0,$I$7-$E202))</f>
      </c>
      <c r="G202" t="str" s="30" cm="1">
        <f t="array" ref="G202">IF($E202="","",$F202*$D$7)</f>
      </c>
      <c r="H202" t="str" s="30" cm="1">
        <f t="array" ref="H202">IF($E202="","",$T202+IF(AND($V$6&gt;=$D$8,COUNT($E$11:$E202)=$V$7+1),$D$8,0))</f>
      </c>
      <c r="I202" t="str" s="30" cm="1">
        <f t="array" ref="I202">IF($D202="","",IF(ISTEXT($D202),LEN($D202)-LEN(SUBSTITUTE($D202,":","")),-1))</f>
      </c>
      <c r="J202" s="29" cm="1">
        <f t="array" ref="J202">_xlfn.IFERROR(FIND(":",$D202),0)</f>
        <v>0</v>
      </c>
      <c r="K202" s="29" cm="1">
        <f t="array" ref="K202">_xlfn.IFERROR(FIND(":",$D202,$J202+1),0)</f>
        <v>0</v>
      </c>
      <c r="L202" t="str" s="30" cm="1">
        <f t="array" ref="L202">IF($D202="","",IF($I202=2,MID($D202,$K202+1,10),IF($I202=1,MID($D202,$J202+1,10),IF($I202=0,$D202,""))))</f>
      </c>
      <c r="M202" s="29" cm="1">
        <f t="array" ref="M202">IF($L202="",0,_xlfn.IFERROR(FIND(".",SUBSTITUTE($L202,",",".")),0))</f>
        <v>0</v>
      </c>
      <c r="N202" s="29" cm="1">
        <f t="array" ref="N202">IF($E202="",10^9,$E202)</f>
        <v>1000000000</v>
      </c>
      <c r="O202" t="str" s="30" cm="1">
        <f t="array" ref="O202">IF($E202="","",SUM($E$11:$E202))</f>
      </c>
      <c r="P202" t="str" s="30" cm="1">
        <f t="array" ref="P202">IF($E202="","",($D$6/$D$7+$O202)/COUNT($E$11:$E202))</f>
      </c>
      <c r="Q202" s="29" cm="1">
        <f t="array" ref="Q202">IF($E202="",0,IF(AND($E202&lt;$P202,OR($E203="",$P202&lt;=$E203)),1,0))</f>
        <v>0</v>
      </c>
      <c r="R202" s="27" cm="1">
        <f t="array" ref="R202">IF($V$4=0,"",ROUND($V$4,1)-10+(202-11)*0.1)</f>
        <v>2532.2</v>
      </c>
      <c r="S202" s="28">
        <v>23000</v>
      </c>
      <c r="T202" t="str" s="30" cm="1">
        <f t="array" ref="T202">IF($E202="","",ROUND($G202/$D$8,0)*$D$8)</f>
      </c>
      <c r="U202" s="14"/>
      <c r="V202" s="8"/>
    </row>
    <row r="203" ht="13.55" customHeight="1">
      <c r="A203" t="str" s="30" cm="1">
        <f t="array" ref="A203">IF($E203="","",COUNT($E$11:$E203))</f>
      </c>
      <c r="B203" s="39"/>
      <c r="C203" s="39"/>
      <c r="D203" s="39"/>
      <c r="E203" t="str" s="30" cm="1">
        <f t="array" ref="E203">IF($D203="","",_xlfn.IFERROR(IF($I203=-1,IF($D203&lt;0.5,$D203*86400,IF($D203&lt;100,$D203*1440,$D203)),IF($I203=2,VALUE(LEFT($D203,$J203-1))*3600+VALUE(MID($D203,$J203+1,$K203-$J203-1))*60,IF($I203=1,VALUE(LEFT($D203,$J203-1))*60,0))+IF($M203=0,VALUE($L203),VALUE(LEFT($L203,$M203-1))+VALUE(MID($L203,$M203+1,10))/10^(LEN($L203)-$M203))),""))</f>
      </c>
      <c r="F203" t="str" s="30" cm="1">
        <f t="array" ref="F203">IF($E203="","",MAX(0,$I$7-$E203))</f>
      </c>
      <c r="G203" t="str" s="30" cm="1">
        <f t="array" ref="G203">IF($E203="","",$F203*$D$7)</f>
      </c>
      <c r="H203" t="str" s="30" cm="1">
        <f t="array" ref="H203">IF($E203="","",$T203+IF(AND($V$6&gt;=$D$8,COUNT($E$11:$E203)=$V$7+1),$D$8,0))</f>
      </c>
      <c r="I203" t="str" s="30" cm="1">
        <f t="array" ref="I203">IF($D203="","",IF(ISTEXT($D203),LEN($D203)-LEN(SUBSTITUTE($D203,":","")),-1))</f>
      </c>
      <c r="J203" s="29" cm="1">
        <f t="array" ref="J203">_xlfn.IFERROR(FIND(":",$D203),0)</f>
        <v>0</v>
      </c>
      <c r="K203" s="29" cm="1">
        <f t="array" ref="K203">_xlfn.IFERROR(FIND(":",$D203,$J203+1),0)</f>
        <v>0</v>
      </c>
      <c r="L203" t="str" s="30" cm="1">
        <f t="array" ref="L203">IF($D203="","",IF($I203=2,MID($D203,$K203+1,10),IF($I203=1,MID($D203,$J203+1,10),IF($I203=0,$D203,""))))</f>
      </c>
      <c r="M203" s="29" cm="1">
        <f t="array" ref="M203">IF($L203="",0,_xlfn.IFERROR(FIND(".",SUBSTITUTE($L203,",",".")),0))</f>
        <v>0</v>
      </c>
      <c r="N203" s="29" cm="1">
        <f t="array" ref="N203">IF($E203="",10^9,$E203)</f>
        <v>1000000000</v>
      </c>
      <c r="O203" t="str" s="30" cm="1">
        <f t="array" ref="O203">IF($E203="","",SUM($E$11:$E203))</f>
      </c>
      <c r="P203" t="str" s="30" cm="1">
        <f t="array" ref="P203">IF($E203="","",($D$6/$D$7+$O203)/COUNT($E$11:$E203))</f>
      </c>
      <c r="Q203" s="29" cm="1">
        <f t="array" ref="Q203">IF($E203="",0,IF(AND($E203&lt;$P203,OR($E204="",$P203&lt;=$E204)),1,0))</f>
        <v>0</v>
      </c>
      <c r="R203" s="27" cm="1">
        <f t="array" ref="R203">IF($V$4=0,"",ROUND($V$4,1)-10+(203-11)*0.1)</f>
        <v>2532.3</v>
      </c>
      <c r="S203" s="28">
        <v>23000</v>
      </c>
      <c r="T203" t="str" s="30" cm="1">
        <f t="array" ref="T203">IF($E203="","",ROUND($G203/$D$8,0)*$D$8)</f>
      </c>
      <c r="U203" s="14"/>
      <c r="V203" s="8"/>
    </row>
    <row r="204" ht="13.55" customHeight="1">
      <c r="A204" t="str" s="30" cm="1">
        <f t="array" ref="A204">IF($E204="","",COUNT($E$11:$E204))</f>
      </c>
      <c r="B204" s="39"/>
      <c r="C204" s="39"/>
      <c r="D204" s="39"/>
      <c r="E204" t="str" s="30" cm="1">
        <f t="array" ref="E204">IF($D204="","",_xlfn.IFERROR(IF($I204=-1,IF($D204&lt;0.5,$D204*86400,IF($D204&lt;100,$D204*1440,$D204)),IF($I204=2,VALUE(LEFT($D204,$J204-1))*3600+VALUE(MID($D204,$J204+1,$K204-$J204-1))*60,IF($I204=1,VALUE(LEFT($D204,$J204-1))*60,0))+IF($M204=0,VALUE($L204),VALUE(LEFT($L204,$M204-1))+VALUE(MID($L204,$M204+1,10))/10^(LEN($L204)-$M204))),""))</f>
      </c>
      <c r="F204" t="str" s="30" cm="1">
        <f t="array" ref="F204">IF($E204="","",MAX(0,$I$7-$E204))</f>
      </c>
      <c r="G204" t="str" s="30" cm="1">
        <f t="array" ref="G204">IF($E204="","",$F204*$D$7)</f>
      </c>
      <c r="H204" t="str" s="30" cm="1">
        <f t="array" ref="H204">IF($E204="","",$T204+IF(AND($V$6&gt;=$D$8,COUNT($E$11:$E204)=$V$7+1),$D$8,0))</f>
      </c>
      <c r="I204" t="str" s="30" cm="1">
        <f t="array" ref="I204">IF($D204="","",IF(ISTEXT($D204),LEN($D204)-LEN(SUBSTITUTE($D204,":","")),-1))</f>
      </c>
      <c r="J204" s="29" cm="1">
        <f t="array" ref="J204">_xlfn.IFERROR(FIND(":",$D204),0)</f>
        <v>0</v>
      </c>
      <c r="K204" s="29" cm="1">
        <f t="array" ref="K204">_xlfn.IFERROR(FIND(":",$D204,$J204+1),0)</f>
        <v>0</v>
      </c>
      <c r="L204" t="str" s="30" cm="1">
        <f t="array" ref="L204">IF($D204="","",IF($I204=2,MID($D204,$K204+1,10),IF($I204=1,MID($D204,$J204+1,10),IF($I204=0,$D204,""))))</f>
      </c>
      <c r="M204" s="29" cm="1">
        <f t="array" ref="M204">IF($L204="",0,_xlfn.IFERROR(FIND(".",SUBSTITUTE($L204,",",".")),0))</f>
        <v>0</v>
      </c>
      <c r="N204" s="29" cm="1">
        <f t="array" ref="N204">IF($E204="",10^9,$E204)</f>
        <v>1000000000</v>
      </c>
      <c r="O204" t="str" s="30" cm="1">
        <f t="array" ref="O204">IF($E204="","",SUM($E$11:$E204))</f>
      </c>
      <c r="P204" t="str" s="30" cm="1">
        <f t="array" ref="P204">IF($E204="","",($D$6/$D$7+$O204)/COUNT($E$11:$E204))</f>
      </c>
      <c r="Q204" s="29" cm="1">
        <f t="array" ref="Q204">IF($E204="",0,IF(AND($E204&lt;$P204,OR($E205="",$P204&lt;=$E205)),1,0))</f>
        <v>0</v>
      </c>
      <c r="R204" s="27" cm="1">
        <f t="array" ref="R204">IF($V$4=0,"",ROUND($V$4,1)-10+(204-11)*0.1)</f>
        <v>2532.4</v>
      </c>
      <c r="S204" s="28">
        <v>23000</v>
      </c>
      <c r="T204" t="str" s="30" cm="1">
        <f t="array" ref="T204">IF($E204="","",ROUND($G204/$D$8,0)*$D$8)</f>
      </c>
      <c r="U204" s="14"/>
      <c r="V204" s="8"/>
    </row>
    <row r="205" ht="13.55" customHeight="1">
      <c r="A205" t="str" s="30" cm="1">
        <f t="array" ref="A205">IF($E205="","",COUNT($E$11:$E205))</f>
      </c>
      <c r="B205" s="39"/>
      <c r="C205" s="39"/>
      <c r="D205" s="39"/>
      <c r="E205" t="str" s="30" cm="1">
        <f t="array" ref="E205">IF($D205="","",_xlfn.IFERROR(IF($I205=-1,IF($D205&lt;0.5,$D205*86400,IF($D205&lt;100,$D205*1440,$D205)),IF($I205=2,VALUE(LEFT($D205,$J205-1))*3600+VALUE(MID($D205,$J205+1,$K205-$J205-1))*60,IF($I205=1,VALUE(LEFT($D205,$J205-1))*60,0))+IF($M205=0,VALUE($L205),VALUE(LEFT($L205,$M205-1))+VALUE(MID($L205,$M205+1,10))/10^(LEN($L205)-$M205))),""))</f>
      </c>
      <c r="F205" t="str" s="30" cm="1">
        <f t="array" ref="F205">IF($E205="","",MAX(0,$I$7-$E205))</f>
      </c>
      <c r="G205" t="str" s="30" cm="1">
        <f t="array" ref="G205">IF($E205="","",$F205*$D$7)</f>
      </c>
      <c r="H205" t="str" s="30" cm="1">
        <f t="array" ref="H205">IF($E205="","",$T205+IF(AND($V$6&gt;=$D$8,COUNT($E$11:$E205)=$V$7+1),$D$8,0))</f>
      </c>
      <c r="I205" t="str" s="30" cm="1">
        <f t="array" ref="I205">IF($D205="","",IF(ISTEXT($D205),LEN($D205)-LEN(SUBSTITUTE($D205,":","")),-1))</f>
      </c>
      <c r="J205" s="29" cm="1">
        <f t="array" ref="J205">_xlfn.IFERROR(FIND(":",$D205),0)</f>
        <v>0</v>
      </c>
      <c r="K205" s="29" cm="1">
        <f t="array" ref="K205">_xlfn.IFERROR(FIND(":",$D205,$J205+1),0)</f>
        <v>0</v>
      </c>
      <c r="L205" t="str" s="30" cm="1">
        <f t="array" ref="L205">IF($D205="","",IF($I205=2,MID($D205,$K205+1,10),IF($I205=1,MID($D205,$J205+1,10),IF($I205=0,$D205,""))))</f>
      </c>
      <c r="M205" s="29" cm="1">
        <f t="array" ref="M205">IF($L205="",0,_xlfn.IFERROR(FIND(".",SUBSTITUTE($L205,",",".")),0))</f>
        <v>0</v>
      </c>
      <c r="N205" s="29" cm="1">
        <f t="array" ref="N205">IF($E205="",10^9,$E205)</f>
        <v>1000000000</v>
      </c>
      <c r="O205" t="str" s="30" cm="1">
        <f t="array" ref="O205">IF($E205="","",SUM($E$11:$E205))</f>
      </c>
      <c r="P205" t="str" s="30" cm="1">
        <f t="array" ref="P205">IF($E205="","",($D$6/$D$7+$O205)/COUNT($E$11:$E205))</f>
      </c>
      <c r="Q205" s="29" cm="1">
        <f t="array" ref="Q205">IF($E205="",0,IF(AND($E205&lt;$P205,OR($E206="",$P205&lt;=$E206)),1,0))</f>
        <v>0</v>
      </c>
      <c r="R205" s="27" cm="1">
        <f t="array" ref="R205">IF($V$4=0,"",ROUND($V$4,1)-10+(205-11)*0.1)</f>
        <v>2532.5</v>
      </c>
      <c r="S205" s="28">
        <v>23000</v>
      </c>
      <c r="T205" t="str" s="30" cm="1">
        <f t="array" ref="T205">IF($E205="","",ROUND($G205/$D$8,0)*$D$8)</f>
      </c>
      <c r="U205" s="14"/>
      <c r="V205" s="8"/>
    </row>
    <row r="206" ht="13.55" customHeight="1">
      <c r="A206" t="str" s="30" cm="1">
        <f t="array" ref="A206">IF($E206="","",COUNT($E$11:$E206))</f>
      </c>
      <c r="B206" s="39"/>
      <c r="C206" s="39"/>
      <c r="D206" s="39"/>
      <c r="E206" t="str" s="30" cm="1">
        <f t="array" ref="E206">IF($D206="","",_xlfn.IFERROR(IF($I206=-1,IF($D206&lt;0.5,$D206*86400,IF($D206&lt;100,$D206*1440,$D206)),IF($I206=2,VALUE(LEFT($D206,$J206-1))*3600+VALUE(MID($D206,$J206+1,$K206-$J206-1))*60,IF($I206=1,VALUE(LEFT($D206,$J206-1))*60,0))+IF($M206=0,VALUE($L206),VALUE(LEFT($L206,$M206-1))+VALUE(MID($L206,$M206+1,10))/10^(LEN($L206)-$M206))),""))</f>
      </c>
      <c r="F206" t="str" s="30" cm="1">
        <f t="array" ref="F206">IF($E206="","",MAX(0,$I$7-$E206))</f>
      </c>
      <c r="G206" t="str" s="30" cm="1">
        <f t="array" ref="G206">IF($E206="","",$F206*$D$7)</f>
      </c>
      <c r="H206" t="str" s="30" cm="1">
        <f t="array" ref="H206">IF($E206="","",$T206+IF(AND($V$6&gt;=$D$8,COUNT($E$11:$E206)=$V$7+1),$D$8,0))</f>
      </c>
      <c r="I206" t="str" s="30" cm="1">
        <f t="array" ref="I206">IF($D206="","",IF(ISTEXT($D206),LEN($D206)-LEN(SUBSTITUTE($D206,":","")),-1))</f>
      </c>
      <c r="J206" s="29" cm="1">
        <f t="array" ref="J206">_xlfn.IFERROR(FIND(":",$D206),0)</f>
        <v>0</v>
      </c>
      <c r="K206" s="29" cm="1">
        <f t="array" ref="K206">_xlfn.IFERROR(FIND(":",$D206,$J206+1),0)</f>
        <v>0</v>
      </c>
      <c r="L206" t="str" s="30" cm="1">
        <f t="array" ref="L206">IF($D206="","",IF($I206=2,MID($D206,$K206+1,10),IF($I206=1,MID($D206,$J206+1,10),IF($I206=0,$D206,""))))</f>
      </c>
      <c r="M206" s="29" cm="1">
        <f t="array" ref="M206">IF($L206="",0,_xlfn.IFERROR(FIND(".",SUBSTITUTE($L206,",",".")),0))</f>
        <v>0</v>
      </c>
      <c r="N206" s="29" cm="1">
        <f t="array" ref="N206">IF($E206="",10^9,$E206)</f>
        <v>1000000000</v>
      </c>
      <c r="O206" t="str" s="30" cm="1">
        <f t="array" ref="O206">IF($E206="","",SUM($E$11:$E206))</f>
      </c>
      <c r="P206" t="str" s="30" cm="1">
        <f t="array" ref="P206">IF($E206="","",($D$6/$D$7+$O206)/COUNT($E$11:$E206))</f>
      </c>
      <c r="Q206" s="29" cm="1">
        <f t="array" ref="Q206">IF($E206="",0,IF(AND($E206&lt;$P206,OR($E207="",$P206&lt;=$E207)),1,0))</f>
        <v>0</v>
      </c>
      <c r="R206" s="27" cm="1">
        <f t="array" ref="R206">IF($V$4=0,"",ROUND($V$4,1)-10+(206-11)*0.1)</f>
        <v>2532.6</v>
      </c>
      <c r="S206" s="28">
        <v>23000</v>
      </c>
      <c r="T206" t="str" s="30" cm="1">
        <f t="array" ref="T206">IF($E206="","",ROUND($G206/$D$8,0)*$D$8)</f>
      </c>
      <c r="U206" s="14"/>
      <c r="V206" s="8"/>
    </row>
    <row r="207" ht="13.55" customHeight="1">
      <c r="A207" t="str" s="30" cm="1">
        <f t="array" ref="A207">IF($E207="","",COUNT($E$11:$E207))</f>
      </c>
      <c r="B207" s="39"/>
      <c r="C207" s="39"/>
      <c r="D207" s="39"/>
      <c r="E207" t="str" s="30" cm="1">
        <f t="array" ref="E207">IF($D207="","",_xlfn.IFERROR(IF($I207=-1,IF($D207&lt;0.5,$D207*86400,IF($D207&lt;100,$D207*1440,$D207)),IF($I207=2,VALUE(LEFT($D207,$J207-1))*3600+VALUE(MID($D207,$J207+1,$K207-$J207-1))*60,IF($I207=1,VALUE(LEFT($D207,$J207-1))*60,0))+IF($M207=0,VALUE($L207),VALUE(LEFT($L207,$M207-1))+VALUE(MID($L207,$M207+1,10))/10^(LEN($L207)-$M207))),""))</f>
      </c>
      <c r="F207" t="str" s="30" cm="1">
        <f t="array" ref="F207">IF($E207="","",MAX(0,$I$7-$E207))</f>
      </c>
      <c r="G207" t="str" s="30" cm="1">
        <f t="array" ref="G207">IF($E207="","",$F207*$D$7)</f>
      </c>
      <c r="H207" t="str" s="30" cm="1">
        <f t="array" ref="H207">IF($E207="","",$T207+IF(AND($V$6&gt;=$D$8,COUNT($E$11:$E207)=$V$7+1),$D$8,0))</f>
      </c>
      <c r="I207" t="str" s="30" cm="1">
        <f t="array" ref="I207">IF($D207="","",IF(ISTEXT($D207),LEN($D207)-LEN(SUBSTITUTE($D207,":","")),-1))</f>
      </c>
      <c r="J207" s="29" cm="1">
        <f t="array" ref="J207">_xlfn.IFERROR(FIND(":",$D207),0)</f>
        <v>0</v>
      </c>
      <c r="K207" s="29" cm="1">
        <f t="array" ref="K207">_xlfn.IFERROR(FIND(":",$D207,$J207+1),0)</f>
        <v>0</v>
      </c>
      <c r="L207" t="str" s="30" cm="1">
        <f t="array" ref="L207">IF($D207="","",IF($I207=2,MID($D207,$K207+1,10),IF($I207=1,MID($D207,$J207+1,10),IF($I207=0,$D207,""))))</f>
      </c>
      <c r="M207" s="29" cm="1">
        <f t="array" ref="M207">IF($L207="",0,_xlfn.IFERROR(FIND(".",SUBSTITUTE($L207,",",".")),0))</f>
        <v>0</v>
      </c>
      <c r="N207" s="29" cm="1">
        <f t="array" ref="N207">IF($E207="",10^9,$E207)</f>
        <v>1000000000</v>
      </c>
      <c r="O207" t="str" s="30" cm="1">
        <f t="array" ref="O207">IF($E207="","",SUM($E$11:$E207))</f>
      </c>
      <c r="P207" t="str" s="30" cm="1">
        <f t="array" ref="P207">IF($E207="","",($D$6/$D$7+$O207)/COUNT($E$11:$E207))</f>
      </c>
      <c r="Q207" s="29" cm="1">
        <f t="array" ref="Q207">IF($E207="",0,IF(AND($E207&lt;$P207,OR($E208="",$P207&lt;=$E208)),1,0))</f>
        <v>0</v>
      </c>
      <c r="R207" s="27" cm="1">
        <f t="array" ref="R207">IF($V$4=0,"",ROUND($V$4,1)-10+(207-11)*0.1)</f>
        <v>2532.7</v>
      </c>
      <c r="S207" s="28">
        <v>23000</v>
      </c>
      <c r="T207" t="str" s="30" cm="1">
        <f t="array" ref="T207">IF($E207="","",ROUND($G207/$D$8,0)*$D$8)</f>
      </c>
      <c r="U207" s="14"/>
      <c r="V207" s="8"/>
    </row>
    <row r="208" ht="13.55" customHeight="1">
      <c r="A208" t="str" s="30" cm="1">
        <f t="array" ref="A208">IF($E208="","",COUNT($E$11:$E208))</f>
      </c>
      <c r="B208" s="39"/>
      <c r="C208" s="39"/>
      <c r="D208" s="39"/>
      <c r="E208" t="str" s="30" cm="1">
        <f t="array" ref="E208">IF($D208="","",_xlfn.IFERROR(IF($I208=-1,IF($D208&lt;0.5,$D208*86400,IF($D208&lt;100,$D208*1440,$D208)),IF($I208=2,VALUE(LEFT($D208,$J208-1))*3600+VALUE(MID($D208,$J208+1,$K208-$J208-1))*60,IF($I208=1,VALUE(LEFT($D208,$J208-1))*60,0))+IF($M208=0,VALUE($L208),VALUE(LEFT($L208,$M208-1))+VALUE(MID($L208,$M208+1,10))/10^(LEN($L208)-$M208))),""))</f>
      </c>
      <c r="F208" t="str" s="30" cm="1">
        <f t="array" ref="F208">IF($E208="","",MAX(0,$I$7-$E208))</f>
      </c>
      <c r="G208" t="str" s="30" cm="1">
        <f t="array" ref="G208">IF($E208="","",$F208*$D$7)</f>
      </c>
      <c r="H208" t="str" s="30" cm="1">
        <f t="array" ref="H208">IF($E208="","",$T208+IF(AND($V$6&gt;=$D$8,COUNT($E$11:$E208)=$V$7+1),$D$8,0))</f>
      </c>
      <c r="I208" t="str" s="30" cm="1">
        <f t="array" ref="I208">IF($D208="","",IF(ISTEXT($D208),LEN($D208)-LEN(SUBSTITUTE($D208,":","")),-1))</f>
      </c>
      <c r="J208" s="29" cm="1">
        <f t="array" ref="J208">_xlfn.IFERROR(FIND(":",$D208),0)</f>
        <v>0</v>
      </c>
      <c r="K208" s="29" cm="1">
        <f t="array" ref="K208">_xlfn.IFERROR(FIND(":",$D208,$J208+1),0)</f>
        <v>0</v>
      </c>
      <c r="L208" t="str" s="30" cm="1">
        <f t="array" ref="L208">IF($D208="","",IF($I208=2,MID($D208,$K208+1,10),IF($I208=1,MID($D208,$J208+1,10),IF($I208=0,$D208,""))))</f>
      </c>
      <c r="M208" s="29" cm="1">
        <f t="array" ref="M208">IF($L208="",0,_xlfn.IFERROR(FIND(".",SUBSTITUTE($L208,",",".")),0))</f>
        <v>0</v>
      </c>
      <c r="N208" s="29" cm="1">
        <f t="array" ref="N208">IF($E208="",10^9,$E208)</f>
        <v>1000000000</v>
      </c>
      <c r="O208" t="str" s="30" cm="1">
        <f t="array" ref="O208">IF($E208="","",SUM($E$11:$E208))</f>
      </c>
      <c r="P208" t="str" s="30" cm="1">
        <f t="array" ref="P208">IF($E208="","",($D$6/$D$7+$O208)/COUNT($E$11:$E208))</f>
      </c>
      <c r="Q208" s="29" cm="1">
        <f t="array" ref="Q208">IF($E208="",0,IF(AND($E208&lt;$P208,OR($E209="",$P208&lt;=$E209)),1,0))</f>
        <v>0</v>
      </c>
      <c r="R208" s="27" cm="1">
        <f t="array" ref="R208">IF($V$4=0,"",ROUND($V$4,1)-10+(208-11)*0.1)</f>
        <v>2532.8</v>
      </c>
      <c r="S208" s="28">
        <v>23000</v>
      </c>
      <c r="T208" t="str" s="30" cm="1">
        <f t="array" ref="T208">IF($E208="","",ROUND($G208/$D$8,0)*$D$8)</f>
      </c>
      <c r="U208" s="14"/>
      <c r="V208" s="8"/>
    </row>
    <row r="209" ht="13.55" customHeight="1">
      <c r="A209" t="str" s="30" cm="1">
        <f t="array" ref="A209">IF($E209="","",COUNT($E$11:$E209))</f>
      </c>
      <c r="B209" s="39"/>
      <c r="C209" s="39"/>
      <c r="D209" s="39"/>
      <c r="E209" t="str" s="30" cm="1">
        <f t="array" ref="E209">IF($D209="","",_xlfn.IFERROR(IF($I209=-1,IF($D209&lt;0.5,$D209*86400,IF($D209&lt;100,$D209*1440,$D209)),IF($I209=2,VALUE(LEFT($D209,$J209-1))*3600+VALUE(MID($D209,$J209+1,$K209-$J209-1))*60,IF($I209=1,VALUE(LEFT($D209,$J209-1))*60,0))+IF($M209=0,VALUE($L209),VALUE(LEFT($L209,$M209-1))+VALUE(MID($L209,$M209+1,10))/10^(LEN($L209)-$M209))),""))</f>
      </c>
      <c r="F209" t="str" s="30" cm="1">
        <f t="array" ref="F209">IF($E209="","",MAX(0,$I$7-$E209))</f>
      </c>
      <c r="G209" t="str" s="30" cm="1">
        <f t="array" ref="G209">IF($E209="","",$F209*$D$7)</f>
      </c>
      <c r="H209" t="str" s="30" cm="1">
        <f t="array" ref="H209">IF($E209="","",$T209+IF(AND($V$6&gt;=$D$8,COUNT($E$11:$E209)=$V$7+1),$D$8,0))</f>
      </c>
      <c r="I209" t="str" s="30" cm="1">
        <f t="array" ref="I209">IF($D209="","",IF(ISTEXT($D209),LEN($D209)-LEN(SUBSTITUTE($D209,":","")),-1))</f>
      </c>
      <c r="J209" s="29" cm="1">
        <f t="array" ref="J209">_xlfn.IFERROR(FIND(":",$D209),0)</f>
        <v>0</v>
      </c>
      <c r="K209" s="29" cm="1">
        <f t="array" ref="K209">_xlfn.IFERROR(FIND(":",$D209,$J209+1),0)</f>
        <v>0</v>
      </c>
      <c r="L209" t="str" s="30" cm="1">
        <f t="array" ref="L209">IF($D209="","",IF($I209=2,MID($D209,$K209+1,10),IF($I209=1,MID($D209,$J209+1,10),IF($I209=0,$D209,""))))</f>
      </c>
      <c r="M209" s="29" cm="1">
        <f t="array" ref="M209">IF($L209="",0,_xlfn.IFERROR(FIND(".",SUBSTITUTE($L209,",",".")),0))</f>
        <v>0</v>
      </c>
      <c r="N209" s="29" cm="1">
        <f t="array" ref="N209">IF($E209="",10^9,$E209)</f>
        <v>1000000000</v>
      </c>
      <c r="O209" t="str" s="30" cm="1">
        <f t="array" ref="O209">IF($E209="","",SUM($E$11:$E209))</f>
      </c>
      <c r="P209" t="str" s="30" cm="1">
        <f t="array" ref="P209">IF($E209="","",($D$6/$D$7+$O209)/COUNT($E$11:$E209))</f>
      </c>
      <c r="Q209" s="29" cm="1">
        <f t="array" ref="Q209">IF($E209="",0,IF(AND($E209&lt;$P209,OR($E210="",$P209&lt;=$E210)),1,0))</f>
        <v>0</v>
      </c>
      <c r="R209" s="27" cm="1">
        <f t="array" ref="R209">IF($V$4=0,"",ROUND($V$4,1)-10+(209-11)*0.1)</f>
        <v>2532.9</v>
      </c>
      <c r="S209" s="28">
        <v>23000</v>
      </c>
      <c r="T209" t="str" s="30" cm="1">
        <f t="array" ref="T209">IF($E209="","",ROUND($G209/$D$8,0)*$D$8)</f>
      </c>
      <c r="U209" s="14"/>
      <c r="V209" s="8"/>
    </row>
    <row r="210" ht="13.55" customHeight="1">
      <c r="A210" t="str" s="30" cm="1">
        <f t="array" ref="A210">IF($E210="","",COUNT($E$11:$E210))</f>
      </c>
      <c r="B210" s="39"/>
      <c r="C210" s="39"/>
      <c r="D210" s="39"/>
      <c r="E210" t="str" s="30" cm="1">
        <f t="array" ref="E210">IF($D210="","",_xlfn.IFERROR(IF($I210=-1,IF($D210&lt;0.5,$D210*86400,IF($D210&lt;100,$D210*1440,$D210)),IF($I210=2,VALUE(LEFT($D210,$J210-1))*3600+VALUE(MID($D210,$J210+1,$K210-$J210-1))*60,IF($I210=1,VALUE(LEFT($D210,$J210-1))*60,0))+IF($M210=0,VALUE($L210),VALUE(LEFT($L210,$M210-1))+VALUE(MID($L210,$M210+1,10))/10^(LEN($L210)-$M210))),""))</f>
      </c>
      <c r="F210" t="str" s="30" cm="1">
        <f t="array" ref="F210">IF($E210="","",MAX(0,$I$7-$E210))</f>
      </c>
      <c r="G210" t="str" s="30" cm="1">
        <f t="array" ref="G210">IF($E210="","",$F210*$D$7)</f>
      </c>
      <c r="H210" t="str" s="30" cm="1">
        <f t="array" ref="H210">IF($E210="","",$T210+IF(AND($V$6&gt;=$D$8,COUNT($E$11:$E210)=$V$7+1),$D$8,0))</f>
      </c>
      <c r="I210" t="str" s="30" cm="1">
        <f t="array" ref="I210">IF($D210="","",IF(ISTEXT($D210),LEN($D210)-LEN(SUBSTITUTE($D210,":","")),-1))</f>
      </c>
      <c r="J210" s="29" cm="1">
        <f t="array" ref="J210">_xlfn.IFERROR(FIND(":",$D210),0)</f>
        <v>0</v>
      </c>
      <c r="K210" s="29" cm="1">
        <f t="array" ref="K210">_xlfn.IFERROR(FIND(":",$D210,$J210+1),0)</f>
        <v>0</v>
      </c>
      <c r="L210" t="str" s="30" cm="1">
        <f t="array" ref="L210">IF($D210="","",IF($I210=2,MID($D210,$K210+1,10),IF($I210=1,MID($D210,$J210+1,10),IF($I210=0,$D210,""))))</f>
      </c>
      <c r="M210" s="29" cm="1">
        <f t="array" ref="M210">IF($L210="",0,_xlfn.IFERROR(FIND(".",SUBSTITUTE($L210,",",".")),0))</f>
        <v>0</v>
      </c>
      <c r="N210" s="29" cm="1">
        <f t="array" ref="N210">IF($E210="",10^9,$E210)</f>
        <v>1000000000</v>
      </c>
      <c r="O210" t="str" s="30" cm="1">
        <f t="array" ref="O210">IF($E210="","",SUM($E$11:$E210))</f>
      </c>
      <c r="P210" t="str" s="30" cm="1">
        <f t="array" ref="P210">IF($E210="","",($D$6/$D$7+$O210)/COUNT($E$11:$E210))</f>
      </c>
      <c r="Q210" s="29" cm="1">
        <f t="array" ref="Q210">IF($E210="",0,IF(AND($E210&lt;$P210,OR($E211="",$P210&lt;=$E211)),1,0))</f>
        <v>0</v>
      </c>
      <c r="R210" s="27" cm="1">
        <f t="array" ref="R210">IF($V$4=0,"",ROUND($V$4,1)-10+(210-11)*0.1)</f>
        <v>2533</v>
      </c>
      <c r="S210" s="28">
        <v>23000</v>
      </c>
      <c r="T210" t="str" s="30" cm="1">
        <f t="array" ref="T210">IF($E210="","",ROUND($G210/$D$8,0)*$D$8)</f>
      </c>
      <c r="U210" s="14"/>
      <c r="V210" s="8"/>
    </row>
    <row r="211" ht="13.55" customHeight="1">
      <c r="A211" s="17"/>
      <c r="B211" s="17"/>
      <c r="C211" s="17"/>
      <c r="D211" s="17"/>
      <c r="E211" s="17"/>
      <c r="F211" s="17"/>
      <c r="G211" s="17"/>
      <c r="H211" s="17"/>
      <c r="I211" s="17"/>
      <c r="J211" s="17"/>
      <c r="K211" s="17"/>
      <c r="L211" s="17"/>
      <c r="M211" s="17"/>
      <c r="N211" s="17"/>
      <c r="O211" s="17"/>
      <c r="P211" s="17"/>
      <c r="Q211" s="17"/>
      <c r="R211" s="17"/>
      <c r="S211" s="17"/>
      <c r="T211" s="17"/>
      <c r="U211" s="8"/>
      <c r="V211" s="8"/>
    </row>
  </sheetData>
  <mergeCells count="9">
    <mergeCell ref="F6:H6"/>
    <mergeCell ref="F5:H5"/>
    <mergeCell ref="A5:C5"/>
    <mergeCell ref="A8:C8"/>
    <mergeCell ref="A6:C6"/>
    <mergeCell ref="F4:H4"/>
    <mergeCell ref="A7:C7"/>
    <mergeCell ref="F7:H7"/>
    <mergeCell ref="A4:C4"/>
  </mergeCells>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V211"/>
  <sheetViews>
    <sheetView workbookViewId="0" showGridLines="0" defaultGridColor="1"/>
  </sheetViews>
  <sheetFormatPr defaultColWidth="8.83333" defaultRowHeight="15" customHeight="1" outlineLevelRow="0" outlineLevelCol="0"/>
  <cols>
    <col min="1" max="1" width="7" style="40" customWidth="1"/>
    <col min="2" max="2" width="8" style="40" customWidth="1"/>
    <col min="3" max="3" width="30" style="40" customWidth="1"/>
    <col min="4" max="4" width="13" style="40" customWidth="1"/>
    <col min="5" max="5" width="10" style="40" customWidth="1"/>
    <col min="6" max="6" width="13" style="40" customWidth="1"/>
    <col min="7" max="7" width="15" style="40" customWidth="1"/>
    <col min="8" max="8" width="12" style="40" customWidth="1"/>
    <col min="9" max="11" width="11" style="40" customWidth="1"/>
    <col min="12" max="15" width="13" style="40" customWidth="1"/>
    <col min="16" max="16" width="14" style="40" customWidth="1"/>
    <col min="17" max="17" width="13" style="40" customWidth="1"/>
    <col min="18" max="18" width="14" style="40" customWidth="1"/>
    <col min="19" max="20" width="16" style="40" customWidth="1"/>
    <col min="21" max="22" width="8.85156" style="40" customWidth="1"/>
    <col min="23" max="16384" width="8.85156" style="40" customWidth="1"/>
  </cols>
  <sheetData>
    <row r="1" ht="17.9" customHeight="1">
      <c r="A1" t="s" s="7">
        <v>105</v>
      </c>
      <c r="B1" s="8"/>
      <c r="C1" s="8"/>
      <c r="D1" s="8"/>
      <c r="E1" s="8"/>
      <c r="F1" s="8"/>
      <c r="G1" s="8"/>
      <c r="H1" s="8"/>
      <c r="I1" s="8"/>
      <c r="J1" s="8"/>
      <c r="K1" s="8"/>
      <c r="L1" s="8"/>
      <c r="M1" s="8"/>
      <c r="N1" s="8"/>
      <c r="O1" s="8"/>
      <c r="P1" s="8"/>
      <c r="Q1" s="8"/>
      <c r="R1" s="8"/>
      <c r="S1" s="8"/>
      <c r="T1" s="8"/>
      <c r="U1" s="8"/>
      <c r="V1" s="8"/>
    </row>
    <row r="2" ht="13.55" customHeight="1">
      <c r="A2" t="s" s="9">
        <v>7</v>
      </c>
      <c r="B2" s="8"/>
      <c r="C2" s="8"/>
      <c r="D2" s="8"/>
      <c r="E2" s="8"/>
      <c r="F2" s="8"/>
      <c r="G2" s="8"/>
      <c r="H2" s="8"/>
      <c r="I2" s="8"/>
      <c r="J2" s="8"/>
      <c r="K2" s="8"/>
      <c r="L2" s="8"/>
      <c r="M2" s="8"/>
      <c r="N2" s="8"/>
      <c r="O2" s="8"/>
      <c r="P2" s="8"/>
      <c r="Q2" s="8"/>
      <c r="R2" s="8"/>
      <c r="S2" s="8"/>
      <c r="T2" s="8"/>
      <c r="U2" s="8"/>
      <c r="V2" s="8"/>
    </row>
    <row r="3" ht="13.55" customHeight="1">
      <c r="A3" s="8"/>
      <c r="B3" s="8"/>
      <c r="C3" s="8"/>
      <c r="D3" s="10"/>
      <c r="E3" s="8"/>
      <c r="F3" s="8"/>
      <c r="G3" s="8"/>
      <c r="H3" s="8"/>
      <c r="I3" s="10"/>
      <c r="J3" s="8"/>
      <c r="K3" s="8"/>
      <c r="L3" s="8"/>
      <c r="M3" s="8"/>
      <c r="N3" s="8"/>
      <c r="O3" s="8"/>
      <c r="P3" s="8"/>
      <c r="Q3" s="8"/>
      <c r="R3" s="8"/>
      <c r="S3" s="8"/>
      <c r="T3" s="8"/>
      <c r="U3" s="8"/>
      <c r="V3" s="8"/>
    </row>
    <row r="4" ht="13.75" customHeight="1">
      <c r="A4" t="s" s="11">
        <v>8</v>
      </c>
      <c r="B4" s="8"/>
      <c r="C4" s="12"/>
      <c r="D4" s="13">
        <v>1000</v>
      </c>
      <c r="E4" s="14"/>
      <c r="F4" t="s" s="11">
        <v>9</v>
      </c>
      <c r="G4" s="8"/>
      <c r="H4" s="12"/>
      <c r="I4" s="13" cm="1">
        <f t="array" ref="I4">SUM($H$11:$H$210)</f>
        <v>4000</v>
      </c>
      <c r="J4" s="14"/>
      <c r="K4" s="8"/>
      <c r="L4" s="8"/>
      <c r="M4" s="8"/>
      <c r="N4" s="8"/>
      <c r="O4" s="8"/>
      <c r="P4" s="8"/>
      <c r="Q4" s="8"/>
      <c r="R4" s="8"/>
      <c r="S4" s="8"/>
      <c r="T4" s="8"/>
      <c r="U4" t="s" s="9">
        <v>10</v>
      </c>
      <c r="V4" s="15" cm="1">
        <f t="array" ref="V4">SUMIF($Q$11:$Q$210,1,$P$11:$P$210)</f>
        <v>3155.2</v>
      </c>
    </row>
    <row r="5" ht="13.75" customHeight="1">
      <c r="A5" t="s" s="11">
        <v>11</v>
      </c>
      <c r="B5" s="8"/>
      <c r="C5" s="12"/>
      <c r="D5" s="13" cm="1">
        <f t="array" ref="D5">COUNTA($C$11:$C$210)</f>
        <v>4</v>
      </c>
      <c r="E5" s="14"/>
      <c r="F5" t="s" s="11">
        <v>12</v>
      </c>
      <c r="G5" s="8"/>
      <c r="H5" s="12"/>
      <c r="I5" s="13" cm="1">
        <f t="array" ref="I5">$D$6-$I$4</f>
        <v>0</v>
      </c>
      <c r="J5" s="14"/>
      <c r="K5" s="8"/>
      <c r="L5" s="8"/>
      <c r="M5" s="8"/>
      <c r="N5" s="8"/>
      <c r="O5" s="8"/>
      <c r="P5" s="8"/>
      <c r="Q5" s="8"/>
      <c r="R5" s="8"/>
      <c r="S5" s="8"/>
      <c r="T5" s="8"/>
      <c r="U5" t="s" s="9">
        <v>13</v>
      </c>
      <c r="V5" s="15" cm="1">
        <f t="array" ref="V5">SUM($T$11:$T$210)</f>
        <v>4000</v>
      </c>
    </row>
    <row r="6" ht="13.75" customHeight="1">
      <c r="A6" t="s" s="11">
        <v>14</v>
      </c>
      <c r="B6" s="8"/>
      <c r="C6" s="12"/>
      <c r="D6" s="13" cm="1">
        <f t="array" ref="D6">$D$4*$D$5</f>
        <v>4000</v>
      </c>
      <c r="E6" s="14"/>
      <c r="F6" t="s" s="11">
        <v>15</v>
      </c>
      <c r="G6" s="8"/>
      <c r="H6" s="12"/>
      <c r="I6" s="13" cm="1">
        <f t="array" ref="I6">COUNTIF($H$11:$H$210,"&gt;0")</f>
        <v>1</v>
      </c>
      <c r="J6" s="14"/>
      <c r="K6" s="8"/>
      <c r="L6" s="8"/>
      <c r="M6" s="8"/>
      <c r="N6" s="8"/>
      <c r="O6" s="8"/>
      <c r="P6" s="8"/>
      <c r="Q6" s="8"/>
      <c r="R6" s="8"/>
      <c r="S6" s="8"/>
      <c r="T6" s="8"/>
      <c r="U6" t="s" s="9">
        <v>16</v>
      </c>
      <c r="V6" s="15" cm="1">
        <f t="array" ref="V6">$D$6-$V$5</f>
        <v>0</v>
      </c>
    </row>
    <row r="7" ht="13.75" customHeight="1">
      <c r="A7" t="s" s="11">
        <v>17</v>
      </c>
      <c r="B7" s="8"/>
      <c r="C7" s="12"/>
      <c r="D7" s="13">
        <v>100</v>
      </c>
      <c r="E7" s="14"/>
      <c r="F7" t="s" s="11">
        <v>18</v>
      </c>
      <c r="G7" s="8"/>
      <c r="H7" s="12"/>
      <c r="I7" s="16">
        <v>3160.1</v>
      </c>
      <c r="J7" s="14"/>
      <c r="K7" s="8"/>
      <c r="L7" s="8"/>
      <c r="M7" s="8"/>
      <c r="N7" s="8"/>
      <c r="O7" s="8"/>
      <c r="P7" s="8"/>
      <c r="Q7" s="8"/>
      <c r="R7" s="8"/>
      <c r="S7" s="8"/>
      <c r="T7" s="8"/>
      <c r="U7" t="s" s="9">
        <v>19</v>
      </c>
      <c r="V7" s="15" cm="1">
        <f t="array" ref="V7">COUNTIF($T$11:$T$210,"&gt;0")</f>
        <v>1</v>
      </c>
    </row>
    <row r="8" ht="13.75" customHeight="1">
      <c r="A8" t="s" s="11">
        <v>20</v>
      </c>
      <c r="B8" s="8"/>
      <c r="C8" s="12"/>
      <c r="D8" s="13">
        <v>1000</v>
      </c>
      <c r="E8" s="14"/>
      <c r="F8" s="8"/>
      <c r="G8" s="8"/>
      <c r="H8" s="8"/>
      <c r="I8" s="17"/>
      <c r="J8" s="8"/>
      <c r="K8" s="8"/>
      <c r="L8" s="8"/>
      <c r="M8" s="8"/>
      <c r="N8" s="8"/>
      <c r="O8" s="8"/>
      <c r="P8" s="8"/>
      <c r="Q8" s="8"/>
      <c r="R8" s="8"/>
      <c r="S8" s="8"/>
      <c r="T8" s="8"/>
      <c r="U8" s="8"/>
      <c r="V8" s="8"/>
    </row>
    <row r="9" ht="13.75" customHeight="1">
      <c r="A9" t="str" s="18"/>
      <c r="B9" s="19"/>
      <c r="C9" s="19"/>
      <c r="D9" s="20"/>
      <c r="E9" s="19"/>
      <c r="F9" s="19"/>
      <c r="G9" s="19"/>
      <c r="H9" s="19"/>
      <c r="I9" s="19"/>
      <c r="J9" s="19"/>
      <c r="K9" s="19"/>
      <c r="L9" s="19"/>
      <c r="M9" s="19"/>
      <c r="N9" s="19"/>
      <c r="O9" s="19"/>
      <c r="P9" s="19"/>
      <c r="Q9" s="19"/>
      <c r="R9" s="19"/>
      <c r="S9" s="19"/>
      <c r="T9" s="19"/>
      <c r="U9" s="8"/>
      <c r="V9" s="8"/>
    </row>
    <row r="10" ht="32" customHeight="1">
      <c r="A10" t="s" s="21">
        <v>21</v>
      </c>
      <c r="B10" t="s" s="22">
        <v>22</v>
      </c>
      <c r="C10" t="s" s="22">
        <v>23</v>
      </c>
      <c r="D10" t="s" s="22">
        <v>24</v>
      </c>
      <c r="E10" t="s" s="22">
        <v>25</v>
      </c>
      <c r="F10" t="s" s="22">
        <v>26</v>
      </c>
      <c r="G10" t="s" s="22">
        <v>27</v>
      </c>
      <c r="H10" t="s" s="22">
        <v>28</v>
      </c>
      <c r="I10" t="s" s="22">
        <v>29</v>
      </c>
      <c r="J10" t="s" s="22">
        <v>30</v>
      </c>
      <c r="K10" t="s" s="22">
        <v>31</v>
      </c>
      <c r="L10" t="s" s="22">
        <v>32</v>
      </c>
      <c r="M10" t="s" s="22">
        <v>33</v>
      </c>
      <c r="N10" t="s" s="22">
        <v>34</v>
      </c>
      <c r="O10" t="s" s="22">
        <v>35</v>
      </c>
      <c r="P10" t="s" s="22">
        <v>36</v>
      </c>
      <c r="Q10" t="s" s="22">
        <v>37</v>
      </c>
      <c r="R10" t="s" s="22">
        <v>38</v>
      </c>
      <c r="S10" t="s" s="22">
        <v>39</v>
      </c>
      <c r="T10" t="s" s="22">
        <v>40</v>
      </c>
      <c r="U10" s="23"/>
      <c r="V10" s="8"/>
    </row>
    <row r="11" ht="17" customHeight="1">
      <c r="A11" s="24">
        <v>1</v>
      </c>
      <c r="B11" s="24">
        <v>22</v>
      </c>
      <c r="C11" t="s" s="25">
        <v>106</v>
      </c>
      <c r="D11" t="s" s="26">
        <v>107</v>
      </c>
      <c r="E11" s="27" cm="1">
        <f t="array" ref="E11">IF($D11="","",_xlfn.IFERROR(IF($I11=-1,IF($D11&lt;0.5,$D11*86400,IF($D11&lt;100,$D11*1440,$D11)),IF($I11=2,VALUE(LEFT($D11,$J11-1))*3600+VALUE(MID($D11,$J11+1,$K11-$J11-1))*60,IF($I11=1,VALUE(LEFT($D11,$J11-1))*60,0))+IF($M11=0,VALUE($L11),VALUE(LEFT($L11,$M11-1))+VALUE(MID($L11,$M11+1,10))/10^(LEN($L11)-$M11))),""))</f>
        <v>3115.2</v>
      </c>
      <c r="F11" s="27" cm="1">
        <f t="array" ref="F11">IF($E11="","",MAX(0,$I$7-$E11))</f>
        <v>44.9</v>
      </c>
      <c r="G11" s="28" cm="1">
        <f t="array" ref="G11">IF($E11="","",$F11*$D$7)</f>
        <v>4490</v>
      </c>
      <c r="H11" s="28" cm="1">
        <f t="array" ref="H11">IF($E11="","",$T11+IF(AND($V$6&gt;=$D$8,COUNT($E$11:$E11)=$V$7+1),$D$8,0))</f>
        <v>4000</v>
      </c>
      <c r="I11" s="29" cm="1">
        <f t="array" ref="I11">IF($D11="","",IF(ISTEXT($D11),LEN($D11)-LEN(SUBSTITUTE($D11,":","")),-1))</f>
        <v>2</v>
      </c>
      <c r="J11" s="29" cm="1">
        <f t="array" ref="J11">_xlfn.IFERROR(FIND(":",$D11),0)</f>
        <v>3</v>
      </c>
      <c r="K11" s="29" cm="1">
        <f t="array" ref="K11">_xlfn.IFERROR(FIND(":",$D11,$J11+1),0)</f>
        <v>6</v>
      </c>
      <c r="L11" t="str" s="30" cm="1">
        <f t="array" ref="L11">IF($D11="","",IF($I11=2,MID($D11,$K11+1,10),IF($I11=1,MID($D11,$J11+1,10),IF($I11=0,$D11,""))))</f>
        <v>55.2</v>
      </c>
      <c r="M11" s="29" cm="1">
        <f t="array" ref="M11">IF($L11="",0,_xlfn.IFERROR(FIND(".",SUBSTITUTE($L11,",",".")),0))</f>
        <v>3</v>
      </c>
      <c r="N11" s="27" cm="1">
        <f t="array" ref="N11">IF($E11="",10^9,$E11)</f>
        <v>3115.2</v>
      </c>
      <c r="O11" s="27" cm="1">
        <f t="array" ref="O11">IF($E11="","",SUM($E$11:$E11))</f>
        <v>3115.2</v>
      </c>
      <c r="P11" s="27" cm="1">
        <f t="array" ref="P11">IF($E11="","",($D$6/$D$7+$O11)/COUNT($E$11:$E11))</f>
        <v>3155.2</v>
      </c>
      <c r="Q11" s="29" cm="1">
        <f t="array" ref="Q11">IF($E11="",0,IF(AND($E11&lt;$P11,OR($E12="",$P11&lt;=$E12)),1,0))</f>
        <v>1</v>
      </c>
      <c r="R11" s="27" cm="1">
        <f t="array" ref="R11">IF($V$4=0,"",ROUND($V$4,1)-10+(11-11)*0.1)</f>
        <v>3145.2</v>
      </c>
      <c r="S11" s="28">
        <v>3000</v>
      </c>
      <c r="T11" s="28" cm="1">
        <f t="array" ref="T11">IF($E11="","",ROUND($G11/$D$8,0)*$D$8)</f>
        <v>4000</v>
      </c>
      <c r="U11" s="14"/>
      <c r="V11" s="8"/>
    </row>
    <row r="12" ht="17" customHeight="1">
      <c r="A12" s="34">
        <v>2</v>
      </c>
      <c r="B12" s="34">
        <v>17</v>
      </c>
      <c r="C12" t="s" s="35">
        <v>109</v>
      </c>
      <c r="D12" t="s" s="36">
        <v>110</v>
      </c>
      <c r="E12" s="27" cm="1">
        <f t="array" ref="E12">IF($D12="","",_xlfn.IFERROR(IF($I12=-1,IF($D12&lt;0.5,$D12*86400,IF($D12&lt;100,$D12*1440,$D12)),IF($I12=2,VALUE(LEFT($D12,$J12-1))*3600+VALUE(MID($D12,$J12+1,$K12-$J12-1))*60,IF($I12=1,VALUE(LEFT($D12,$J12-1))*60,0))+IF($M12=0,VALUE($L12),VALUE(LEFT($L12,$M12-1))+VALUE(MID($L12,$M12+1,10))/10^(LEN($L12)-$M12))),""))</f>
        <v>3220.1</v>
      </c>
      <c r="F12" s="27" cm="1">
        <f t="array" ref="F12">IF($E12="","",MAX(0,$I$7-$E12))</f>
        <v>0</v>
      </c>
      <c r="G12" s="28" cm="1">
        <f t="array" ref="G12">IF($E12="","",$F12*$D$7)</f>
        <v>0</v>
      </c>
      <c r="H12" s="28" cm="1">
        <f t="array" ref="H12">IF($E12="","",$T12+IF(AND($V$6&gt;=$D$8,COUNT($E$11:$E12)=$V$7+1),$D$8,0))</f>
        <v>0</v>
      </c>
      <c r="I12" s="29" cm="1">
        <f t="array" ref="I12">IF($D12="","",IF(ISTEXT($D12),LEN($D12)-LEN(SUBSTITUTE($D12,":","")),-1))</f>
        <v>2</v>
      </c>
      <c r="J12" s="29" cm="1">
        <f t="array" ref="J12">_xlfn.IFERROR(FIND(":",$D12),0)</f>
        <v>3</v>
      </c>
      <c r="K12" s="29" cm="1">
        <f t="array" ref="K12">_xlfn.IFERROR(FIND(":",$D12,$J12+1),0)</f>
        <v>6</v>
      </c>
      <c r="L12" t="str" s="30" cm="1">
        <f t="array" ref="L12">IF($D12="","",IF($I12=2,MID($D12,$K12+1,10),IF($I12=1,MID($D12,$J12+1,10),IF($I12=0,$D12,""))))</f>
        <v>40.1</v>
      </c>
      <c r="M12" s="29" cm="1">
        <f t="array" ref="M12">IF($L12="",0,_xlfn.IFERROR(FIND(".",SUBSTITUTE($L12,",",".")),0))</f>
        <v>3</v>
      </c>
      <c r="N12" s="27" cm="1">
        <f t="array" ref="N12">IF($E12="",10^9,$E12)</f>
        <v>3220.1</v>
      </c>
      <c r="O12" s="27" cm="1">
        <f t="array" ref="O12">IF($E12="","",SUM($E$11:$E12))</f>
        <v>6335.3</v>
      </c>
      <c r="P12" s="27" cm="1">
        <f t="array" ref="P12">IF($E12="","",($D$6/$D$7+$O12)/COUNT($E$11:$E12))</f>
        <v>3187.65</v>
      </c>
      <c r="Q12" s="29" cm="1">
        <f t="array" ref="Q12">IF($E12="",0,IF(AND($E12&lt;$P12,OR($E13="",$P12&lt;=$E13)),1,0))</f>
        <v>0</v>
      </c>
      <c r="R12" s="27" cm="1">
        <f t="array" ref="R12">IF($V$4=0,"",ROUND($V$4,1)-10+(12-11)*0.1)</f>
        <v>3145.3</v>
      </c>
      <c r="S12" s="28">
        <v>3000</v>
      </c>
      <c r="T12" s="28" cm="1">
        <f t="array" ref="T12">IF($E12="","",ROUND($G12/$D$8,0)*$D$8)</f>
        <v>0</v>
      </c>
      <c r="U12" s="14"/>
      <c r="V12" s="8"/>
    </row>
    <row r="13" ht="17" customHeight="1">
      <c r="A13" s="31">
        <v>3</v>
      </c>
      <c r="B13" s="31">
        <v>23</v>
      </c>
      <c r="C13" t="s" s="32">
        <v>112</v>
      </c>
      <c r="D13" t="s" s="33">
        <v>113</v>
      </c>
      <c r="E13" s="27" cm="1">
        <f t="array" ref="E13">IF($D13="","",_xlfn.IFERROR(IF($I13=-1,IF($D13&lt;0.5,$D13*86400,IF($D13&lt;100,$D13*1440,$D13)),IF($I13=2,VALUE(LEFT($D13,$J13-1))*3600+VALUE(MID($D13,$J13+1,$K13-$J13-1))*60,IF($I13=1,VALUE(LEFT($D13,$J13-1))*60,0))+IF($M13=0,VALUE($L13),VALUE(LEFT($L13,$M13-1))+VALUE(MID($L13,$M13+1,10))/10^(LEN($L13)-$M13))),""))</f>
        <v>3888.3</v>
      </c>
      <c r="F13" s="27" cm="1">
        <f t="array" ref="F13">IF($E13="","",MAX(0,$I$7-$E13))</f>
        <v>0</v>
      </c>
      <c r="G13" s="28" cm="1">
        <f t="array" ref="G13">IF($E13="","",$F13*$D$7)</f>
        <v>0</v>
      </c>
      <c r="H13" s="28" cm="1">
        <f t="array" ref="H13">IF($E13="","",$T13+IF(AND($V$6&gt;=$D$8,COUNT($E$11:$E13)=$V$7+1),$D$8,0))</f>
        <v>0</v>
      </c>
      <c r="I13" s="29" cm="1">
        <f t="array" ref="I13">IF($D13="","",IF(ISTEXT($D13),LEN($D13)-LEN(SUBSTITUTE($D13,":","")),-1))</f>
        <v>2</v>
      </c>
      <c r="J13" s="29" cm="1">
        <f t="array" ref="J13">_xlfn.IFERROR(FIND(":",$D13),0)</f>
        <v>3</v>
      </c>
      <c r="K13" s="29" cm="1">
        <f t="array" ref="K13">_xlfn.IFERROR(FIND(":",$D13,$J13+1),0)</f>
        <v>6</v>
      </c>
      <c r="L13" t="str" s="30" cm="1">
        <f t="array" ref="L13">IF($D13="","",IF($I13=2,MID($D13,$K13+1,10),IF($I13=1,MID($D13,$J13+1,10),IF($I13=0,$D13,""))))</f>
        <v>48.3</v>
      </c>
      <c r="M13" s="29" cm="1">
        <f t="array" ref="M13">IF($L13="",0,_xlfn.IFERROR(FIND(".",SUBSTITUTE($L13,",",".")),0))</f>
        <v>3</v>
      </c>
      <c r="N13" s="27" cm="1">
        <f t="array" ref="N13">IF($E13="",10^9,$E13)</f>
        <v>3888.3</v>
      </c>
      <c r="O13" s="27" cm="1">
        <f t="array" ref="O13">IF($E13="","",SUM($E$11:$E13))</f>
        <v>10223.6</v>
      </c>
      <c r="P13" s="27" cm="1">
        <f t="array" ref="P13">IF($E13="","",($D$6/$D$7+$O13)/COUNT($E$11:$E13))</f>
        <v>3421.2</v>
      </c>
      <c r="Q13" s="29" cm="1">
        <f t="array" ref="Q13">IF($E13="",0,IF(AND($E13&lt;$P13,OR($E14="",$P13&lt;=$E14)),1,0))</f>
        <v>0</v>
      </c>
      <c r="R13" s="27" cm="1">
        <f t="array" ref="R13">IF($V$4=0,"",ROUND($V$4,1)-10+(13-11)*0.1)</f>
        <v>3145.4</v>
      </c>
      <c r="S13" s="28">
        <v>3000</v>
      </c>
      <c r="T13" s="28" cm="1">
        <f t="array" ref="T13">IF($E13="","",ROUND($G13/$D$8,0)*$D$8)</f>
        <v>0</v>
      </c>
      <c r="U13" s="14"/>
      <c r="V13" s="8"/>
    </row>
    <row r="14" ht="17" customHeight="1">
      <c r="A14" s="41">
        <v>1</v>
      </c>
      <c r="B14" s="41">
        <v>8</v>
      </c>
      <c r="C14" t="s" s="42">
        <v>115</v>
      </c>
      <c r="D14" t="s" s="43">
        <v>116</v>
      </c>
      <c r="E14" s="27" cm="1">
        <f t="array" ref="E14">IF($D14="","",_xlfn.IFERROR(IF($I14=-1,IF($D14&lt;0.5,$D14*86400,IF($D14&lt;100,$D14*1440,$D14)),IF($I14=2,VALUE(LEFT($D14,$J14-1))*3600+VALUE(MID($D14,$J14+1,$K14-$J14-1))*60,IF($I14=1,VALUE(LEFT($D14,$J14-1))*60,0))+IF($M14=0,VALUE($L14),VALUE(LEFT($L14,$M14-1))+VALUE(MID($L14,$M14+1,10))/10^(LEN($L14)-$M14))),""))</f>
        <v>5493.3</v>
      </c>
      <c r="F14" s="27" cm="1">
        <f t="array" ref="F14">IF($E14="","",MAX(0,$I$7-$E14))</f>
        <v>0</v>
      </c>
      <c r="G14" s="28" cm="1">
        <f t="array" ref="G14">IF($E14="","",$F14*$D$7)</f>
        <v>0</v>
      </c>
      <c r="H14" s="28" cm="1">
        <f t="array" ref="H14">IF($E14="","",$T14+IF(AND($V$6&gt;=$D$8,COUNT($E$11:$E14)=$V$7+1),$D$8,0))</f>
        <v>0</v>
      </c>
      <c r="I14" s="29" cm="1">
        <f t="array" ref="I14">IF($D14="","",IF(ISTEXT($D14),LEN($D14)-LEN(SUBSTITUTE($D14,":","")),-1))</f>
        <v>2</v>
      </c>
      <c r="J14" s="29" cm="1">
        <f t="array" ref="J14">_xlfn.IFERROR(FIND(":",$D14),0)</f>
        <v>3</v>
      </c>
      <c r="K14" s="29" cm="1">
        <f t="array" ref="K14">_xlfn.IFERROR(FIND(":",$D14,$J14+1),0)</f>
        <v>6</v>
      </c>
      <c r="L14" t="str" s="30" cm="1">
        <f t="array" ref="L14">IF($D14="","",IF($I14=2,MID($D14,$K14+1,10),IF($I14=1,MID($D14,$J14+1,10),IF($I14=0,$D14,""))))</f>
        <v>33.3</v>
      </c>
      <c r="M14" s="29" cm="1">
        <f t="array" ref="M14">IF($L14="",0,_xlfn.IFERROR(FIND(".",SUBSTITUTE($L14,",",".")),0))</f>
        <v>3</v>
      </c>
      <c r="N14" s="27" cm="1">
        <f t="array" ref="N14">IF($E14="",10^9,$E14)</f>
        <v>5493.3</v>
      </c>
      <c r="O14" s="27" cm="1">
        <f t="array" ref="O14">IF($E14="","",SUM($E$11:$E14))</f>
        <v>15716.9</v>
      </c>
      <c r="P14" s="27" cm="1">
        <f t="array" ref="P14">IF($E14="","",($D$6/$D$7+$O14)/COUNT($E$11:$E14))</f>
        <v>3939.225</v>
      </c>
      <c r="Q14" s="29" cm="1">
        <f t="array" ref="Q14">IF($E14="",0,IF(AND($E14&lt;$P14,OR($E15="",$P14&lt;=$E15)),1,0))</f>
        <v>0</v>
      </c>
      <c r="R14" s="27" cm="1">
        <f t="array" ref="R14">IF($V$4=0,"",ROUND($V$4,1)-10+(14-11)*0.1)</f>
        <v>3145.5</v>
      </c>
      <c r="S14" s="28">
        <v>3000</v>
      </c>
      <c r="T14" s="28" cm="1">
        <f t="array" ref="T14">IF($E14="","",ROUND($G14/$D$8,0)*$D$8)</f>
        <v>0</v>
      </c>
      <c r="U14" s="14"/>
      <c r="V14" s="8"/>
    </row>
    <row r="15" ht="13.55" customHeight="1">
      <c r="A15" t="str" s="30" cm="1">
        <f t="array" ref="A15">IF($E15="","",COUNT($E$11:$E15))</f>
      </c>
      <c r="B15" s="39"/>
      <c r="C15" s="39"/>
      <c r="D15" s="39"/>
      <c r="E15" t="str" s="30" cm="1">
        <f t="array" ref="E15">IF($D15="","",_xlfn.IFERROR(IF($I15=-1,IF($D15&lt;0.5,$D15*86400,IF($D15&lt;100,$D15*1440,$D15)),IF($I15=2,VALUE(LEFT($D15,$J15-1))*3600+VALUE(MID($D15,$J15+1,$K15-$J15-1))*60,IF($I15=1,VALUE(LEFT($D15,$J15-1))*60,0))+IF($M15=0,VALUE($L15),VALUE(LEFT($L15,$M15-1))+VALUE(MID($L15,$M15+1,10))/10^(LEN($L15)-$M15))),""))</f>
      </c>
      <c r="F15" t="str" s="30" cm="1">
        <f t="array" ref="F15">IF($E15="","",MAX(0,$I$7-$E15))</f>
      </c>
      <c r="G15" t="str" s="30" cm="1">
        <f t="array" ref="G15">IF($E15="","",$F15*$D$7)</f>
      </c>
      <c r="H15" t="str" s="30" cm="1">
        <f t="array" ref="H15">IF($E15="","",$T15+IF(AND($V$6&gt;=$D$8,COUNT($E$11:$E15)=$V$7+1),$D$8,0))</f>
      </c>
      <c r="I15" t="str" s="30" cm="1">
        <f t="array" ref="I15">IF($D15="","",IF(ISTEXT($D15),LEN($D15)-LEN(SUBSTITUTE($D15,":","")),-1))</f>
      </c>
      <c r="J15" s="29" cm="1">
        <f t="array" ref="J15">_xlfn.IFERROR(FIND(":",$D15),0)</f>
        <v>0</v>
      </c>
      <c r="K15" s="29" cm="1">
        <f t="array" ref="K15">_xlfn.IFERROR(FIND(":",$D15,$J15+1),0)</f>
        <v>0</v>
      </c>
      <c r="L15" t="str" s="30" cm="1">
        <f t="array" ref="L15">IF($D15="","",IF($I15=2,MID($D15,$K15+1,10),IF($I15=1,MID($D15,$J15+1,10),IF($I15=0,$D15,""))))</f>
      </c>
      <c r="M15" s="29" cm="1">
        <f t="array" ref="M15">IF($L15="",0,_xlfn.IFERROR(FIND(".",SUBSTITUTE($L15,",",".")),0))</f>
        <v>0</v>
      </c>
      <c r="N15" s="29" cm="1">
        <f t="array" ref="N15">IF($E15="",10^9,$E15)</f>
        <v>1000000000</v>
      </c>
      <c r="O15" t="str" s="30" cm="1">
        <f t="array" ref="O15">IF($E15="","",SUM($E$11:$E15))</f>
      </c>
      <c r="P15" t="str" s="30" cm="1">
        <f t="array" ref="P15">IF($E15="","",($D$6/$D$7+$O15)/COUNT($E$11:$E15))</f>
      </c>
      <c r="Q15" s="29" cm="1">
        <f t="array" ref="Q15">IF($E15="",0,IF(AND($E15&lt;$P15,OR($E16="",$P15&lt;=$E16)),1,0))</f>
        <v>0</v>
      </c>
      <c r="R15" s="27" cm="1">
        <f t="array" ref="R15">IF($V$4=0,"",ROUND($V$4,1)-10+(15-11)*0.1)</f>
        <v>3145.6</v>
      </c>
      <c r="S15" s="28">
        <v>3000</v>
      </c>
      <c r="T15" t="str" s="30" cm="1">
        <f t="array" ref="T15">IF($E15="","",ROUND($G15/$D$8,0)*$D$8)</f>
      </c>
      <c r="U15" s="14"/>
      <c r="V15" s="8"/>
    </row>
    <row r="16" ht="13.55" customHeight="1">
      <c r="A16" t="str" s="30" cm="1">
        <f t="array" ref="A16">IF($E16="","",COUNT($E$11:$E16))</f>
      </c>
      <c r="B16" s="39"/>
      <c r="C16" s="39"/>
      <c r="D16" s="39"/>
      <c r="E16" t="str" s="30" cm="1">
        <f t="array" ref="E16">IF($D16="","",_xlfn.IFERROR(IF($I16=-1,IF($D16&lt;0.5,$D16*86400,IF($D16&lt;100,$D16*1440,$D16)),IF($I16=2,VALUE(LEFT($D16,$J16-1))*3600+VALUE(MID($D16,$J16+1,$K16-$J16-1))*60,IF($I16=1,VALUE(LEFT($D16,$J16-1))*60,0))+IF($M16=0,VALUE($L16),VALUE(LEFT($L16,$M16-1))+VALUE(MID($L16,$M16+1,10))/10^(LEN($L16)-$M16))),""))</f>
      </c>
      <c r="F16" t="str" s="30" cm="1">
        <f t="array" ref="F16">IF($E16="","",MAX(0,$I$7-$E16))</f>
      </c>
      <c r="G16" t="str" s="30" cm="1">
        <f t="array" ref="G16">IF($E16="","",$F16*$D$7)</f>
      </c>
      <c r="H16" t="str" s="30" cm="1">
        <f t="array" ref="H16">IF($E16="","",$T16+IF(AND($V$6&gt;=$D$8,COUNT($E$11:$E16)=$V$7+1),$D$8,0))</f>
      </c>
      <c r="I16" t="str" s="30" cm="1">
        <f t="array" ref="I16">IF($D16="","",IF(ISTEXT($D16),LEN($D16)-LEN(SUBSTITUTE($D16,":","")),-1))</f>
      </c>
      <c r="J16" s="29" cm="1">
        <f t="array" ref="J16">_xlfn.IFERROR(FIND(":",$D16),0)</f>
        <v>0</v>
      </c>
      <c r="K16" s="29" cm="1">
        <f t="array" ref="K16">_xlfn.IFERROR(FIND(":",$D16,$J16+1),0)</f>
        <v>0</v>
      </c>
      <c r="L16" t="str" s="30" cm="1">
        <f t="array" ref="L16">IF($D16="","",IF($I16=2,MID($D16,$K16+1,10),IF($I16=1,MID($D16,$J16+1,10),IF($I16=0,$D16,""))))</f>
      </c>
      <c r="M16" s="29" cm="1">
        <f t="array" ref="M16">IF($L16="",0,_xlfn.IFERROR(FIND(".",SUBSTITUTE($L16,",",".")),0))</f>
        <v>0</v>
      </c>
      <c r="N16" s="29" cm="1">
        <f t="array" ref="N16">IF($E16="",10^9,$E16)</f>
        <v>1000000000</v>
      </c>
      <c r="O16" t="str" s="30" cm="1">
        <f t="array" ref="O16">IF($E16="","",SUM($E$11:$E16))</f>
      </c>
      <c r="P16" t="str" s="30" cm="1">
        <f t="array" ref="P16">IF($E16="","",($D$6/$D$7+$O16)/COUNT($E$11:$E16))</f>
      </c>
      <c r="Q16" s="29" cm="1">
        <f t="array" ref="Q16">IF($E16="",0,IF(AND($E16&lt;$P16,OR($E17="",$P16&lt;=$E17)),1,0))</f>
        <v>0</v>
      </c>
      <c r="R16" s="27" cm="1">
        <f t="array" ref="R16">IF($V$4=0,"",ROUND($V$4,1)-10+(16-11)*0.1)</f>
        <v>3145.7</v>
      </c>
      <c r="S16" s="28">
        <v>3000</v>
      </c>
      <c r="T16" t="str" s="30" cm="1">
        <f t="array" ref="T16">IF($E16="","",ROUND($G16/$D$8,0)*$D$8)</f>
      </c>
      <c r="U16" s="14"/>
      <c r="V16" s="8"/>
    </row>
    <row r="17" ht="13.55" customHeight="1">
      <c r="A17" t="str" s="30" cm="1">
        <f t="array" ref="A17">IF($E17="","",COUNT($E$11:$E17))</f>
      </c>
      <c r="B17" s="39"/>
      <c r="C17" s="39"/>
      <c r="D17" s="39"/>
      <c r="E17" t="str" s="30" cm="1">
        <f t="array" ref="E17">IF($D17="","",_xlfn.IFERROR(IF($I17=-1,IF($D17&lt;0.5,$D17*86400,IF($D17&lt;100,$D17*1440,$D17)),IF($I17=2,VALUE(LEFT($D17,$J17-1))*3600+VALUE(MID($D17,$J17+1,$K17-$J17-1))*60,IF($I17=1,VALUE(LEFT($D17,$J17-1))*60,0))+IF($M17=0,VALUE($L17),VALUE(LEFT($L17,$M17-1))+VALUE(MID($L17,$M17+1,10))/10^(LEN($L17)-$M17))),""))</f>
      </c>
      <c r="F17" t="str" s="30" cm="1">
        <f t="array" ref="F17">IF($E17="","",MAX(0,$I$7-$E17))</f>
      </c>
      <c r="G17" t="str" s="30" cm="1">
        <f t="array" ref="G17">IF($E17="","",$F17*$D$7)</f>
      </c>
      <c r="H17" t="str" s="30" cm="1">
        <f t="array" ref="H17">IF($E17="","",$T17+IF(AND($V$6&gt;=$D$8,COUNT($E$11:$E17)=$V$7+1),$D$8,0))</f>
      </c>
      <c r="I17" t="str" s="30" cm="1">
        <f t="array" ref="I17">IF($D17="","",IF(ISTEXT($D17),LEN($D17)-LEN(SUBSTITUTE($D17,":","")),-1))</f>
      </c>
      <c r="J17" s="29" cm="1">
        <f t="array" ref="J17">_xlfn.IFERROR(FIND(":",$D17),0)</f>
        <v>0</v>
      </c>
      <c r="K17" s="29" cm="1">
        <f t="array" ref="K17">_xlfn.IFERROR(FIND(":",$D17,$J17+1),0)</f>
        <v>0</v>
      </c>
      <c r="L17" t="str" s="30" cm="1">
        <f t="array" ref="L17">IF($D17="","",IF($I17=2,MID($D17,$K17+1,10),IF($I17=1,MID($D17,$J17+1,10),IF($I17=0,$D17,""))))</f>
      </c>
      <c r="M17" s="29" cm="1">
        <f t="array" ref="M17">IF($L17="",0,_xlfn.IFERROR(FIND(".",SUBSTITUTE($L17,",",".")),0))</f>
        <v>0</v>
      </c>
      <c r="N17" s="29" cm="1">
        <f t="array" ref="N17">IF($E17="",10^9,$E17)</f>
        <v>1000000000</v>
      </c>
      <c r="O17" t="str" s="30" cm="1">
        <f t="array" ref="O17">IF($E17="","",SUM($E$11:$E17))</f>
      </c>
      <c r="P17" t="str" s="30" cm="1">
        <f t="array" ref="P17">IF($E17="","",($D$6/$D$7+$O17)/COUNT($E$11:$E17))</f>
      </c>
      <c r="Q17" s="29" cm="1">
        <f t="array" ref="Q17">IF($E17="",0,IF(AND($E17&lt;$P17,OR($E18="",$P17&lt;=$E18)),1,0))</f>
        <v>0</v>
      </c>
      <c r="R17" s="27" cm="1">
        <f t="array" ref="R17">IF($V$4=0,"",ROUND($V$4,1)-10+(17-11)*0.1)</f>
        <v>3145.8</v>
      </c>
      <c r="S17" s="28">
        <v>3000</v>
      </c>
      <c r="T17" t="str" s="30" cm="1">
        <f t="array" ref="T17">IF($E17="","",ROUND($G17/$D$8,0)*$D$8)</f>
      </c>
      <c r="U17" s="14"/>
      <c r="V17" s="8"/>
    </row>
    <row r="18" ht="13.55" customHeight="1">
      <c r="A18" t="str" s="30" cm="1">
        <f t="array" ref="A18">IF($E18="","",COUNT($E$11:$E18))</f>
      </c>
      <c r="B18" s="39"/>
      <c r="C18" s="39"/>
      <c r="D18" s="39"/>
      <c r="E18" t="str" s="30" cm="1">
        <f t="array" ref="E18">IF($D18="","",_xlfn.IFERROR(IF($I18=-1,IF($D18&lt;0.5,$D18*86400,IF($D18&lt;100,$D18*1440,$D18)),IF($I18=2,VALUE(LEFT($D18,$J18-1))*3600+VALUE(MID($D18,$J18+1,$K18-$J18-1))*60,IF($I18=1,VALUE(LEFT($D18,$J18-1))*60,0))+IF($M18=0,VALUE($L18),VALUE(LEFT($L18,$M18-1))+VALUE(MID($L18,$M18+1,10))/10^(LEN($L18)-$M18))),""))</f>
      </c>
      <c r="F18" t="str" s="30" cm="1">
        <f t="array" ref="F18">IF($E18="","",MAX(0,$I$7-$E18))</f>
      </c>
      <c r="G18" t="str" s="30" cm="1">
        <f t="array" ref="G18">IF($E18="","",$F18*$D$7)</f>
      </c>
      <c r="H18" t="str" s="30" cm="1">
        <f t="array" ref="H18">IF($E18="","",$T18+IF(AND($V$6&gt;=$D$8,COUNT($E$11:$E18)=$V$7+1),$D$8,0))</f>
      </c>
      <c r="I18" t="str" s="30" cm="1">
        <f t="array" ref="I18">IF($D18="","",IF(ISTEXT($D18),LEN($D18)-LEN(SUBSTITUTE($D18,":","")),-1))</f>
      </c>
      <c r="J18" s="29" cm="1">
        <f t="array" ref="J18">_xlfn.IFERROR(FIND(":",$D18),0)</f>
        <v>0</v>
      </c>
      <c r="K18" s="29" cm="1">
        <f t="array" ref="K18">_xlfn.IFERROR(FIND(":",$D18,$J18+1),0)</f>
        <v>0</v>
      </c>
      <c r="L18" t="str" s="30" cm="1">
        <f t="array" ref="L18">IF($D18="","",IF($I18=2,MID($D18,$K18+1,10),IF($I18=1,MID($D18,$J18+1,10),IF($I18=0,$D18,""))))</f>
      </c>
      <c r="M18" s="29" cm="1">
        <f t="array" ref="M18">IF($L18="",0,_xlfn.IFERROR(FIND(".",SUBSTITUTE($L18,",",".")),0))</f>
        <v>0</v>
      </c>
      <c r="N18" s="29" cm="1">
        <f t="array" ref="N18">IF($E18="",10^9,$E18)</f>
        <v>1000000000</v>
      </c>
      <c r="O18" t="str" s="30" cm="1">
        <f t="array" ref="O18">IF($E18="","",SUM($E$11:$E18))</f>
      </c>
      <c r="P18" t="str" s="30" cm="1">
        <f t="array" ref="P18">IF($E18="","",($D$6/$D$7+$O18)/COUNT($E$11:$E18))</f>
      </c>
      <c r="Q18" s="29" cm="1">
        <f t="array" ref="Q18">IF($E18="",0,IF(AND($E18&lt;$P18,OR($E19="",$P18&lt;=$E19)),1,0))</f>
        <v>0</v>
      </c>
      <c r="R18" s="27" cm="1">
        <f t="array" ref="R18">IF($V$4=0,"",ROUND($V$4,1)-10+(18-11)*0.1)</f>
        <v>3145.9</v>
      </c>
      <c r="S18" s="28">
        <v>3000</v>
      </c>
      <c r="T18" t="str" s="30" cm="1">
        <f t="array" ref="T18">IF($E18="","",ROUND($G18/$D$8,0)*$D$8)</f>
      </c>
      <c r="U18" s="14"/>
      <c r="V18" s="8"/>
    </row>
    <row r="19" ht="13.55" customHeight="1">
      <c r="A19" t="str" s="30" cm="1">
        <f t="array" ref="A19">IF($E19="","",COUNT($E$11:$E19))</f>
      </c>
      <c r="B19" s="39"/>
      <c r="C19" s="39"/>
      <c r="D19" s="39"/>
      <c r="E19" t="str" s="30" cm="1">
        <f t="array" ref="E19">IF($D19="","",_xlfn.IFERROR(IF($I19=-1,IF($D19&lt;0.5,$D19*86400,IF($D19&lt;100,$D19*1440,$D19)),IF($I19=2,VALUE(LEFT($D19,$J19-1))*3600+VALUE(MID($D19,$J19+1,$K19-$J19-1))*60,IF($I19=1,VALUE(LEFT($D19,$J19-1))*60,0))+IF($M19=0,VALUE($L19),VALUE(LEFT($L19,$M19-1))+VALUE(MID($L19,$M19+1,10))/10^(LEN($L19)-$M19))),""))</f>
      </c>
      <c r="F19" t="str" s="30" cm="1">
        <f t="array" ref="F19">IF($E19="","",MAX(0,$I$7-$E19))</f>
      </c>
      <c r="G19" t="str" s="30" cm="1">
        <f t="array" ref="G19">IF($E19="","",$F19*$D$7)</f>
      </c>
      <c r="H19" t="str" s="30" cm="1">
        <f t="array" ref="H19">IF($E19="","",$T19+IF(AND($V$6&gt;=$D$8,COUNT($E$11:$E19)=$V$7+1),$D$8,0))</f>
      </c>
      <c r="I19" t="str" s="30" cm="1">
        <f t="array" ref="I19">IF($D19="","",IF(ISTEXT($D19),LEN($D19)-LEN(SUBSTITUTE($D19,":","")),-1))</f>
      </c>
      <c r="J19" s="29" cm="1">
        <f t="array" ref="J19">_xlfn.IFERROR(FIND(":",$D19),0)</f>
        <v>0</v>
      </c>
      <c r="K19" s="29" cm="1">
        <f t="array" ref="K19">_xlfn.IFERROR(FIND(":",$D19,$J19+1),0)</f>
        <v>0</v>
      </c>
      <c r="L19" t="str" s="30" cm="1">
        <f t="array" ref="L19">IF($D19="","",IF($I19=2,MID($D19,$K19+1,10),IF($I19=1,MID($D19,$J19+1,10),IF($I19=0,$D19,""))))</f>
      </c>
      <c r="M19" s="29" cm="1">
        <f t="array" ref="M19">IF($L19="",0,_xlfn.IFERROR(FIND(".",SUBSTITUTE($L19,",",".")),0))</f>
        <v>0</v>
      </c>
      <c r="N19" s="29" cm="1">
        <f t="array" ref="N19">IF($E19="",10^9,$E19)</f>
        <v>1000000000</v>
      </c>
      <c r="O19" t="str" s="30" cm="1">
        <f t="array" ref="O19">IF($E19="","",SUM($E$11:$E19))</f>
      </c>
      <c r="P19" t="str" s="30" cm="1">
        <f t="array" ref="P19">IF($E19="","",($D$6/$D$7+$O19)/COUNT($E$11:$E19))</f>
      </c>
      <c r="Q19" s="29" cm="1">
        <f t="array" ref="Q19">IF($E19="",0,IF(AND($E19&lt;$P19,OR($E20="",$P19&lt;=$E20)),1,0))</f>
        <v>0</v>
      </c>
      <c r="R19" s="27" cm="1">
        <f t="array" ref="R19">IF($V$4=0,"",ROUND($V$4,1)-10+(19-11)*0.1)</f>
        <v>3146</v>
      </c>
      <c r="S19" s="28">
        <v>3000</v>
      </c>
      <c r="T19" t="str" s="30" cm="1">
        <f t="array" ref="T19">IF($E19="","",ROUND($G19/$D$8,0)*$D$8)</f>
      </c>
      <c r="U19" s="14"/>
      <c r="V19" s="8"/>
    </row>
    <row r="20" ht="13.55" customHeight="1">
      <c r="A20" t="str" s="30" cm="1">
        <f t="array" ref="A20">IF($E20="","",COUNT($E$11:$E20))</f>
      </c>
      <c r="B20" s="39"/>
      <c r="C20" s="39"/>
      <c r="D20" s="39"/>
      <c r="E20" t="str" s="30" cm="1">
        <f t="array" ref="E20">IF($D20="","",_xlfn.IFERROR(IF($I20=-1,IF($D20&lt;0.5,$D20*86400,IF($D20&lt;100,$D20*1440,$D20)),IF($I20=2,VALUE(LEFT($D20,$J20-1))*3600+VALUE(MID($D20,$J20+1,$K20-$J20-1))*60,IF($I20=1,VALUE(LEFT($D20,$J20-1))*60,0))+IF($M20=0,VALUE($L20),VALUE(LEFT($L20,$M20-1))+VALUE(MID($L20,$M20+1,10))/10^(LEN($L20)-$M20))),""))</f>
      </c>
      <c r="F20" t="str" s="30" cm="1">
        <f t="array" ref="F20">IF($E20="","",MAX(0,$I$7-$E20))</f>
      </c>
      <c r="G20" t="str" s="30" cm="1">
        <f t="array" ref="G20">IF($E20="","",$F20*$D$7)</f>
      </c>
      <c r="H20" t="str" s="30" cm="1">
        <f t="array" ref="H20">IF($E20="","",$T20+IF(AND($V$6&gt;=$D$8,COUNT($E$11:$E20)=$V$7+1),$D$8,0))</f>
      </c>
      <c r="I20" t="str" s="30" cm="1">
        <f t="array" ref="I20">IF($D20="","",IF(ISTEXT($D20),LEN($D20)-LEN(SUBSTITUTE($D20,":","")),-1))</f>
      </c>
      <c r="J20" s="29" cm="1">
        <f t="array" ref="J20">_xlfn.IFERROR(FIND(":",$D20),0)</f>
        <v>0</v>
      </c>
      <c r="K20" s="29" cm="1">
        <f t="array" ref="K20">_xlfn.IFERROR(FIND(":",$D20,$J20+1),0)</f>
        <v>0</v>
      </c>
      <c r="L20" t="str" s="30" cm="1">
        <f t="array" ref="L20">IF($D20="","",IF($I20=2,MID($D20,$K20+1,10),IF($I20=1,MID($D20,$J20+1,10),IF($I20=0,$D20,""))))</f>
      </c>
      <c r="M20" s="29" cm="1">
        <f t="array" ref="M20">IF($L20="",0,_xlfn.IFERROR(FIND(".",SUBSTITUTE($L20,",",".")),0))</f>
        <v>0</v>
      </c>
      <c r="N20" s="29" cm="1">
        <f t="array" ref="N20">IF($E20="",10^9,$E20)</f>
        <v>1000000000</v>
      </c>
      <c r="O20" t="str" s="30" cm="1">
        <f t="array" ref="O20">IF($E20="","",SUM($E$11:$E20))</f>
      </c>
      <c r="P20" t="str" s="30" cm="1">
        <f t="array" ref="P20">IF($E20="","",($D$6/$D$7+$O20)/COUNT($E$11:$E20))</f>
      </c>
      <c r="Q20" s="29" cm="1">
        <f t="array" ref="Q20">IF($E20="",0,IF(AND($E20&lt;$P20,OR($E21="",$P20&lt;=$E21)),1,0))</f>
        <v>0</v>
      </c>
      <c r="R20" s="27" cm="1">
        <f t="array" ref="R20">IF($V$4=0,"",ROUND($V$4,1)-10+(20-11)*0.1)</f>
        <v>3146.1</v>
      </c>
      <c r="S20" s="28">
        <v>3000</v>
      </c>
      <c r="T20" t="str" s="30" cm="1">
        <f t="array" ref="T20">IF($E20="","",ROUND($G20/$D$8,0)*$D$8)</f>
      </c>
      <c r="U20" s="14"/>
      <c r="V20" s="8"/>
    </row>
    <row r="21" ht="13.55" customHeight="1">
      <c r="A21" t="str" s="30" cm="1">
        <f t="array" ref="A21">IF($E21="","",COUNT($E$11:$E21))</f>
      </c>
      <c r="B21" s="39"/>
      <c r="C21" s="39"/>
      <c r="D21" s="39"/>
      <c r="E21" t="str" s="30" cm="1">
        <f t="array" ref="E21">IF($D21="","",_xlfn.IFERROR(IF($I21=-1,IF($D21&lt;0.5,$D21*86400,IF($D21&lt;100,$D21*1440,$D21)),IF($I21=2,VALUE(LEFT($D21,$J21-1))*3600+VALUE(MID($D21,$J21+1,$K21-$J21-1))*60,IF($I21=1,VALUE(LEFT($D21,$J21-1))*60,0))+IF($M21=0,VALUE($L21),VALUE(LEFT($L21,$M21-1))+VALUE(MID($L21,$M21+1,10))/10^(LEN($L21)-$M21))),""))</f>
      </c>
      <c r="F21" t="str" s="30" cm="1">
        <f t="array" ref="F21">IF($E21="","",MAX(0,$I$7-$E21))</f>
      </c>
      <c r="G21" t="str" s="30" cm="1">
        <f t="array" ref="G21">IF($E21="","",$F21*$D$7)</f>
      </c>
      <c r="H21" t="str" s="30" cm="1">
        <f t="array" ref="H21">IF($E21="","",$T21+IF(AND($V$6&gt;=$D$8,COUNT($E$11:$E21)=$V$7+1),$D$8,0))</f>
      </c>
      <c r="I21" t="str" s="30" cm="1">
        <f t="array" ref="I21">IF($D21="","",IF(ISTEXT($D21),LEN($D21)-LEN(SUBSTITUTE($D21,":","")),-1))</f>
      </c>
      <c r="J21" s="29" cm="1">
        <f t="array" ref="J21">_xlfn.IFERROR(FIND(":",$D21),0)</f>
        <v>0</v>
      </c>
      <c r="K21" s="29" cm="1">
        <f t="array" ref="K21">_xlfn.IFERROR(FIND(":",$D21,$J21+1),0)</f>
        <v>0</v>
      </c>
      <c r="L21" t="str" s="30" cm="1">
        <f t="array" ref="L21">IF($D21="","",IF($I21=2,MID($D21,$K21+1,10),IF($I21=1,MID($D21,$J21+1,10),IF($I21=0,$D21,""))))</f>
      </c>
      <c r="M21" s="29" cm="1">
        <f t="array" ref="M21">IF($L21="",0,_xlfn.IFERROR(FIND(".",SUBSTITUTE($L21,",",".")),0))</f>
        <v>0</v>
      </c>
      <c r="N21" s="29" cm="1">
        <f t="array" ref="N21">IF($E21="",10^9,$E21)</f>
        <v>1000000000</v>
      </c>
      <c r="O21" t="str" s="30" cm="1">
        <f t="array" ref="O21">IF($E21="","",SUM($E$11:$E21))</f>
      </c>
      <c r="P21" t="str" s="30" cm="1">
        <f t="array" ref="P21">IF($E21="","",($D$6/$D$7+$O21)/COUNT($E$11:$E21))</f>
      </c>
      <c r="Q21" s="29" cm="1">
        <f t="array" ref="Q21">IF($E21="",0,IF(AND($E21&lt;$P21,OR($E22="",$P21&lt;=$E22)),1,0))</f>
        <v>0</v>
      </c>
      <c r="R21" s="27" cm="1">
        <f t="array" ref="R21">IF($V$4=0,"",ROUND($V$4,1)-10+(21-11)*0.1)</f>
        <v>3146.2</v>
      </c>
      <c r="S21" s="28">
        <v>3000</v>
      </c>
      <c r="T21" t="str" s="30" cm="1">
        <f t="array" ref="T21">IF($E21="","",ROUND($G21/$D$8,0)*$D$8)</f>
      </c>
      <c r="U21" s="14"/>
      <c r="V21" s="8"/>
    </row>
    <row r="22" ht="13.55" customHeight="1">
      <c r="A22" t="str" s="30" cm="1">
        <f t="array" ref="A22">IF($E22="","",COUNT($E$11:$E22))</f>
      </c>
      <c r="B22" s="39"/>
      <c r="C22" s="39"/>
      <c r="D22" s="39"/>
      <c r="E22" t="str" s="30" cm="1">
        <f t="array" ref="E22">IF($D22="","",_xlfn.IFERROR(IF($I22=-1,IF($D22&lt;0.5,$D22*86400,IF($D22&lt;100,$D22*1440,$D22)),IF($I22=2,VALUE(LEFT($D22,$J22-1))*3600+VALUE(MID($D22,$J22+1,$K22-$J22-1))*60,IF($I22=1,VALUE(LEFT($D22,$J22-1))*60,0))+IF($M22=0,VALUE($L22),VALUE(LEFT($L22,$M22-1))+VALUE(MID($L22,$M22+1,10))/10^(LEN($L22)-$M22))),""))</f>
      </c>
      <c r="F22" t="str" s="30" cm="1">
        <f t="array" ref="F22">IF($E22="","",MAX(0,$I$7-$E22))</f>
      </c>
      <c r="G22" t="str" s="30" cm="1">
        <f t="array" ref="G22">IF($E22="","",$F22*$D$7)</f>
      </c>
      <c r="H22" t="str" s="30" cm="1">
        <f t="array" ref="H22">IF($E22="","",$T22+IF(AND($V$6&gt;=$D$8,COUNT($E$11:$E22)=$V$7+1),$D$8,0))</f>
      </c>
      <c r="I22" t="str" s="30" cm="1">
        <f t="array" ref="I22">IF($D22="","",IF(ISTEXT($D22),LEN($D22)-LEN(SUBSTITUTE($D22,":","")),-1))</f>
      </c>
      <c r="J22" s="29" cm="1">
        <f t="array" ref="J22">_xlfn.IFERROR(FIND(":",$D22),0)</f>
        <v>0</v>
      </c>
      <c r="K22" s="29" cm="1">
        <f t="array" ref="K22">_xlfn.IFERROR(FIND(":",$D22,$J22+1),0)</f>
        <v>0</v>
      </c>
      <c r="L22" t="str" s="30" cm="1">
        <f t="array" ref="L22">IF($D22="","",IF($I22=2,MID($D22,$K22+1,10),IF($I22=1,MID($D22,$J22+1,10),IF($I22=0,$D22,""))))</f>
      </c>
      <c r="M22" s="29" cm="1">
        <f t="array" ref="M22">IF($L22="",0,_xlfn.IFERROR(FIND(".",SUBSTITUTE($L22,",",".")),0))</f>
        <v>0</v>
      </c>
      <c r="N22" s="29" cm="1">
        <f t="array" ref="N22">IF($E22="",10^9,$E22)</f>
        <v>1000000000</v>
      </c>
      <c r="O22" t="str" s="30" cm="1">
        <f t="array" ref="O22">IF($E22="","",SUM($E$11:$E22))</f>
      </c>
      <c r="P22" t="str" s="30" cm="1">
        <f t="array" ref="P22">IF($E22="","",($D$6/$D$7+$O22)/COUNT($E$11:$E22))</f>
      </c>
      <c r="Q22" s="29" cm="1">
        <f t="array" ref="Q22">IF($E22="",0,IF(AND($E22&lt;$P22,OR($E23="",$P22&lt;=$E23)),1,0))</f>
        <v>0</v>
      </c>
      <c r="R22" s="27" cm="1">
        <f t="array" ref="R22">IF($V$4=0,"",ROUND($V$4,1)-10+(22-11)*0.1)</f>
        <v>3146.3</v>
      </c>
      <c r="S22" s="28">
        <v>3000</v>
      </c>
      <c r="T22" t="str" s="30" cm="1">
        <f t="array" ref="T22">IF($E22="","",ROUND($G22/$D$8,0)*$D$8)</f>
      </c>
      <c r="U22" s="14"/>
      <c r="V22" s="8"/>
    </row>
    <row r="23" ht="13.55" customHeight="1">
      <c r="A23" t="str" s="30" cm="1">
        <f t="array" ref="A23">IF($E23="","",COUNT($E$11:$E23))</f>
      </c>
      <c r="B23" s="39"/>
      <c r="C23" s="39"/>
      <c r="D23" s="39"/>
      <c r="E23" t="str" s="30" cm="1">
        <f t="array" ref="E23">IF($D23="","",_xlfn.IFERROR(IF($I23=-1,IF($D23&lt;0.5,$D23*86400,IF($D23&lt;100,$D23*1440,$D23)),IF($I23=2,VALUE(LEFT($D23,$J23-1))*3600+VALUE(MID($D23,$J23+1,$K23-$J23-1))*60,IF($I23=1,VALUE(LEFT($D23,$J23-1))*60,0))+IF($M23=0,VALUE($L23),VALUE(LEFT($L23,$M23-1))+VALUE(MID($L23,$M23+1,10))/10^(LEN($L23)-$M23))),""))</f>
      </c>
      <c r="F23" t="str" s="30" cm="1">
        <f t="array" ref="F23">IF($E23="","",MAX(0,$I$7-$E23))</f>
      </c>
      <c r="G23" t="str" s="30" cm="1">
        <f t="array" ref="G23">IF($E23="","",$F23*$D$7)</f>
      </c>
      <c r="H23" t="str" s="30" cm="1">
        <f t="array" ref="H23">IF($E23="","",$T23+IF(AND($V$6&gt;=$D$8,COUNT($E$11:$E23)=$V$7+1),$D$8,0))</f>
      </c>
      <c r="I23" t="str" s="30" cm="1">
        <f t="array" ref="I23">IF($D23="","",IF(ISTEXT($D23),LEN($D23)-LEN(SUBSTITUTE($D23,":","")),-1))</f>
      </c>
      <c r="J23" s="29" cm="1">
        <f t="array" ref="J23">_xlfn.IFERROR(FIND(":",$D23),0)</f>
        <v>0</v>
      </c>
      <c r="K23" s="29" cm="1">
        <f t="array" ref="K23">_xlfn.IFERROR(FIND(":",$D23,$J23+1),0)</f>
        <v>0</v>
      </c>
      <c r="L23" t="str" s="30" cm="1">
        <f t="array" ref="L23">IF($D23="","",IF($I23=2,MID($D23,$K23+1,10),IF($I23=1,MID($D23,$J23+1,10),IF($I23=0,$D23,""))))</f>
      </c>
      <c r="M23" s="29" cm="1">
        <f t="array" ref="M23">IF($L23="",0,_xlfn.IFERROR(FIND(".",SUBSTITUTE($L23,",",".")),0))</f>
        <v>0</v>
      </c>
      <c r="N23" s="29" cm="1">
        <f t="array" ref="N23">IF($E23="",10^9,$E23)</f>
        <v>1000000000</v>
      </c>
      <c r="O23" t="str" s="30" cm="1">
        <f t="array" ref="O23">IF($E23="","",SUM($E$11:$E23))</f>
      </c>
      <c r="P23" t="str" s="30" cm="1">
        <f t="array" ref="P23">IF($E23="","",($D$6/$D$7+$O23)/COUNT($E$11:$E23))</f>
      </c>
      <c r="Q23" s="29" cm="1">
        <f t="array" ref="Q23">IF($E23="",0,IF(AND($E23&lt;$P23,OR($E24="",$P23&lt;=$E24)),1,0))</f>
        <v>0</v>
      </c>
      <c r="R23" s="27" cm="1">
        <f t="array" ref="R23">IF($V$4=0,"",ROUND($V$4,1)-10+(23-11)*0.1)</f>
        <v>3146.4</v>
      </c>
      <c r="S23" s="28">
        <v>3000</v>
      </c>
      <c r="T23" t="str" s="30" cm="1">
        <f t="array" ref="T23">IF($E23="","",ROUND($G23/$D$8,0)*$D$8)</f>
      </c>
      <c r="U23" s="14"/>
      <c r="V23" s="8"/>
    </row>
    <row r="24" ht="13.55" customHeight="1">
      <c r="A24" t="str" s="30" cm="1">
        <f t="array" ref="A24">IF($E24="","",COUNT($E$11:$E24))</f>
      </c>
      <c r="B24" s="39"/>
      <c r="C24" s="39"/>
      <c r="D24" s="39"/>
      <c r="E24" t="str" s="30" cm="1">
        <f t="array" ref="E24">IF($D24="","",_xlfn.IFERROR(IF($I24=-1,IF($D24&lt;0.5,$D24*86400,IF($D24&lt;100,$D24*1440,$D24)),IF($I24=2,VALUE(LEFT($D24,$J24-1))*3600+VALUE(MID($D24,$J24+1,$K24-$J24-1))*60,IF($I24=1,VALUE(LEFT($D24,$J24-1))*60,0))+IF($M24=0,VALUE($L24),VALUE(LEFT($L24,$M24-1))+VALUE(MID($L24,$M24+1,10))/10^(LEN($L24)-$M24))),""))</f>
      </c>
      <c r="F24" t="str" s="30" cm="1">
        <f t="array" ref="F24">IF($E24="","",MAX(0,$I$7-$E24))</f>
      </c>
      <c r="G24" t="str" s="30" cm="1">
        <f t="array" ref="G24">IF($E24="","",$F24*$D$7)</f>
      </c>
      <c r="H24" t="str" s="30" cm="1">
        <f t="array" ref="H24">IF($E24="","",$T24+IF(AND($V$6&gt;=$D$8,COUNT($E$11:$E24)=$V$7+1),$D$8,0))</f>
      </c>
      <c r="I24" t="str" s="30" cm="1">
        <f t="array" ref="I24">IF($D24="","",IF(ISTEXT($D24),LEN($D24)-LEN(SUBSTITUTE($D24,":","")),-1))</f>
      </c>
      <c r="J24" s="29" cm="1">
        <f t="array" ref="J24">_xlfn.IFERROR(FIND(":",$D24),0)</f>
        <v>0</v>
      </c>
      <c r="K24" s="29" cm="1">
        <f t="array" ref="K24">_xlfn.IFERROR(FIND(":",$D24,$J24+1),0)</f>
        <v>0</v>
      </c>
      <c r="L24" t="str" s="30" cm="1">
        <f t="array" ref="L24">IF($D24="","",IF($I24=2,MID($D24,$K24+1,10),IF($I24=1,MID($D24,$J24+1,10),IF($I24=0,$D24,""))))</f>
      </c>
      <c r="M24" s="29" cm="1">
        <f t="array" ref="M24">IF($L24="",0,_xlfn.IFERROR(FIND(".",SUBSTITUTE($L24,",",".")),0))</f>
        <v>0</v>
      </c>
      <c r="N24" s="29" cm="1">
        <f t="array" ref="N24">IF($E24="",10^9,$E24)</f>
        <v>1000000000</v>
      </c>
      <c r="O24" t="str" s="30" cm="1">
        <f t="array" ref="O24">IF($E24="","",SUM($E$11:$E24))</f>
      </c>
      <c r="P24" t="str" s="30" cm="1">
        <f t="array" ref="P24">IF($E24="","",($D$6/$D$7+$O24)/COUNT($E$11:$E24))</f>
      </c>
      <c r="Q24" s="29" cm="1">
        <f t="array" ref="Q24">IF($E24="",0,IF(AND($E24&lt;$P24,OR($E25="",$P24&lt;=$E25)),1,0))</f>
        <v>0</v>
      </c>
      <c r="R24" s="27" cm="1">
        <f t="array" ref="R24">IF($V$4=0,"",ROUND($V$4,1)-10+(24-11)*0.1)</f>
        <v>3146.5</v>
      </c>
      <c r="S24" s="28">
        <v>3000</v>
      </c>
      <c r="T24" t="str" s="30" cm="1">
        <f t="array" ref="T24">IF($E24="","",ROUND($G24/$D$8,0)*$D$8)</f>
      </c>
      <c r="U24" s="14"/>
      <c r="V24" s="8"/>
    </row>
    <row r="25" ht="13.55" customHeight="1">
      <c r="A25" t="str" s="30" cm="1">
        <f t="array" ref="A25">IF($E25="","",COUNT($E$11:$E25))</f>
      </c>
      <c r="B25" s="39"/>
      <c r="C25" s="39"/>
      <c r="D25" s="39"/>
      <c r="E25" t="str" s="30" cm="1">
        <f t="array" ref="E25">IF($D25="","",_xlfn.IFERROR(IF($I25=-1,IF($D25&lt;0.5,$D25*86400,IF($D25&lt;100,$D25*1440,$D25)),IF($I25=2,VALUE(LEFT($D25,$J25-1))*3600+VALUE(MID($D25,$J25+1,$K25-$J25-1))*60,IF($I25=1,VALUE(LEFT($D25,$J25-1))*60,0))+IF($M25=0,VALUE($L25),VALUE(LEFT($L25,$M25-1))+VALUE(MID($L25,$M25+1,10))/10^(LEN($L25)-$M25))),""))</f>
      </c>
      <c r="F25" t="str" s="30" cm="1">
        <f t="array" ref="F25">IF($E25="","",MAX(0,$I$7-$E25))</f>
      </c>
      <c r="G25" t="str" s="30" cm="1">
        <f t="array" ref="G25">IF($E25="","",$F25*$D$7)</f>
      </c>
      <c r="H25" t="str" s="30" cm="1">
        <f t="array" ref="H25">IF($E25="","",$T25+IF(AND($V$6&gt;=$D$8,COUNT($E$11:$E25)=$V$7+1),$D$8,0))</f>
      </c>
      <c r="I25" t="str" s="30" cm="1">
        <f t="array" ref="I25">IF($D25="","",IF(ISTEXT($D25),LEN($D25)-LEN(SUBSTITUTE($D25,":","")),-1))</f>
      </c>
      <c r="J25" s="29" cm="1">
        <f t="array" ref="J25">_xlfn.IFERROR(FIND(":",$D25),0)</f>
        <v>0</v>
      </c>
      <c r="K25" s="29" cm="1">
        <f t="array" ref="K25">_xlfn.IFERROR(FIND(":",$D25,$J25+1),0)</f>
        <v>0</v>
      </c>
      <c r="L25" t="str" s="30" cm="1">
        <f t="array" ref="L25">IF($D25="","",IF($I25=2,MID($D25,$K25+1,10),IF($I25=1,MID($D25,$J25+1,10),IF($I25=0,$D25,""))))</f>
      </c>
      <c r="M25" s="29" cm="1">
        <f t="array" ref="M25">IF($L25="",0,_xlfn.IFERROR(FIND(".",SUBSTITUTE($L25,",",".")),0))</f>
        <v>0</v>
      </c>
      <c r="N25" s="29" cm="1">
        <f t="array" ref="N25">IF($E25="",10^9,$E25)</f>
        <v>1000000000</v>
      </c>
      <c r="O25" t="str" s="30" cm="1">
        <f t="array" ref="O25">IF($E25="","",SUM($E$11:$E25))</f>
      </c>
      <c r="P25" t="str" s="30" cm="1">
        <f t="array" ref="P25">IF($E25="","",($D$6/$D$7+$O25)/COUNT($E$11:$E25))</f>
      </c>
      <c r="Q25" s="29" cm="1">
        <f t="array" ref="Q25">IF($E25="",0,IF(AND($E25&lt;$P25,OR($E26="",$P25&lt;=$E26)),1,0))</f>
        <v>0</v>
      </c>
      <c r="R25" s="27" cm="1">
        <f t="array" ref="R25">IF($V$4=0,"",ROUND($V$4,1)-10+(25-11)*0.1)</f>
        <v>3146.6</v>
      </c>
      <c r="S25" s="28">
        <v>3000</v>
      </c>
      <c r="T25" t="str" s="30" cm="1">
        <f t="array" ref="T25">IF($E25="","",ROUND($G25/$D$8,0)*$D$8)</f>
      </c>
      <c r="U25" s="14"/>
      <c r="V25" s="8"/>
    </row>
    <row r="26" ht="13.55" customHeight="1">
      <c r="A26" t="str" s="30" cm="1">
        <f t="array" ref="A26">IF($E26="","",COUNT($E$11:$E26))</f>
      </c>
      <c r="B26" s="39"/>
      <c r="C26" s="39"/>
      <c r="D26" s="39"/>
      <c r="E26" t="str" s="30" cm="1">
        <f t="array" ref="E26">IF($D26="","",_xlfn.IFERROR(IF($I26=-1,IF($D26&lt;0.5,$D26*86400,IF($D26&lt;100,$D26*1440,$D26)),IF($I26=2,VALUE(LEFT($D26,$J26-1))*3600+VALUE(MID($D26,$J26+1,$K26-$J26-1))*60,IF($I26=1,VALUE(LEFT($D26,$J26-1))*60,0))+IF($M26=0,VALUE($L26),VALUE(LEFT($L26,$M26-1))+VALUE(MID($L26,$M26+1,10))/10^(LEN($L26)-$M26))),""))</f>
      </c>
      <c r="F26" t="str" s="30" cm="1">
        <f t="array" ref="F26">IF($E26="","",MAX(0,$I$7-$E26))</f>
      </c>
      <c r="G26" t="str" s="30" cm="1">
        <f t="array" ref="G26">IF($E26="","",$F26*$D$7)</f>
      </c>
      <c r="H26" t="str" s="30" cm="1">
        <f t="array" ref="H26">IF($E26="","",$T26+IF(AND($V$6&gt;=$D$8,COUNT($E$11:$E26)=$V$7+1),$D$8,0))</f>
      </c>
      <c r="I26" t="str" s="30" cm="1">
        <f t="array" ref="I26">IF($D26="","",IF(ISTEXT($D26),LEN($D26)-LEN(SUBSTITUTE($D26,":","")),-1))</f>
      </c>
      <c r="J26" s="29" cm="1">
        <f t="array" ref="J26">_xlfn.IFERROR(FIND(":",$D26),0)</f>
        <v>0</v>
      </c>
      <c r="K26" s="29" cm="1">
        <f t="array" ref="K26">_xlfn.IFERROR(FIND(":",$D26,$J26+1),0)</f>
        <v>0</v>
      </c>
      <c r="L26" t="str" s="30" cm="1">
        <f t="array" ref="L26">IF($D26="","",IF($I26=2,MID($D26,$K26+1,10),IF($I26=1,MID($D26,$J26+1,10),IF($I26=0,$D26,""))))</f>
      </c>
      <c r="M26" s="29" cm="1">
        <f t="array" ref="M26">IF($L26="",0,_xlfn.IFERROR(FIND(".",SUBSTITUTE($L26,",",".")),0))</f>
        <v>0</v>
      </c>
      <c r="N26" s="29" cm="1">
        <f t="array" ref="N26">IF($E26="",10^9,$E26)</f>
        <v>1000000000</v>
      </c>
      <c r="O26" t="str" s="30" cm="1">
        <f t="array" ref="O26">IF($E26="","",SUM($E$11:$E26))</f>
      </c>
      <c r="P26" t="str" s="30" cm="1">
        <f t="array" ref="P26">IF($E26="","",($D$6/$D$7+$O26)/COUNT($E$11:$E26))</f>
      </c>
      <c r="Q26" s="29" cm="1">
        <f t="array" ref="Q26">IF($E26="",0,IF(AND($E26&lt;$P26,OR($E27="",$P26&lt;=$E27)),1,0))</f>
        <v>0</v>
      </c>
      <c r="R26" s="27" cm="1">
        <f t="array" ref="R26">IF($V$4=0,"",ROUND($V$4,1)-10+(26-11)*0.1)</f>
        <v>3146.7</v>
      </c>
      <c r="S26" s="28">
        <v>3000</v>
      </c>
      <c r="T26" t="str" s="30" cm="1">
        <f t="array" ref="T26">IF($E26="","",ROUND($G26/$D$8,0)*$D$8)</f>
      </c>
      <c r="U26" s="14"/>
      <c r="V26" s="8"/>
    </row>
    <row r="27" ht="13.55" customHeight="1">
      <c r="A27" t="str" s="30" cm="1">
        <f t="array" ref="A27">IF($E27="","",COUNT($E$11:$E27))</f>
      </c>
      <c r="B27" s="39"/>
      <c r="C27" s="39"/>
      <c r="D27" s="39"/>
      <c r="E27" t="str" s="30" cm="1">
        <f t="array" ref="E27">IF($D27="","",_xlfn.IFERROR(IF($I27=-1,IF($D27&lt;0.5,$D27*86400,IF($D27&lt;100,$D27*1440,$D27)),IF($I27=2,VALUE(LEFT($D27,$J27-1))*3600+VALUE(MID($D27,$J27+1,$K27-$J27-1))*60,IF($I27=1,VALUE(LEFT($D27,$J27-1))*60,0))+IF($M27=0,VALUE($L27),VALUE(LEFT($L27,$M27-1))+VALUE(MID($L27,$M27+1,10))/10^(LEN($L27)-$M27))),""))</f>
      </c>
      <c r="F27" t="str" s="30" cm="1">
        <f t="array" ref="F27">IF($E27="","",MAX(0,$I$7-$E27))</f>
      </c>
      <c r="G27" t="str" s="30" cm="1">
        <f t="array" ref="G27">IF($E27="","",$F27*$D$7)</f>
      </c>
      <c r="H27" t="str" s="30" cm="1">
        <f t="array" ref="H27">IF($E27="","",$T27+IF(AND($V$6&gt;=$D$8,COUNT($E$11:$E27)=$V$7+1),$D$8,0))</f>
      </c>
      <c r="I27" t="str" s="30" cm="1">
        <f t="array" ref="I27">IF($D27="","",IF(ISTEXT($D27),LEN($D27)-LEN(SUBSTITUTE($D27,":","")),-1))</f>
      </c>
      <c r="J27" s="29" cm="1">
        <f t="array" ref="J27">_xlfn.IFERROR(FIND(":",$D27),0)</f>
        <v>0</v>
      </c>
      <c r="K27" s="29" cm="1">
        <f t="array" ref="K27">_xlfn.IFERROR(FIND(":",$D27,$J27+1),0)</f>
        <v>0</v>
      </c>
      <c r="L27" t="str" s="30" cm="1">
        <f t="array" ref="L27">IF($D27="","",IF($I27=2,MID($D27,$K27+1,10),IF($I27=1,MID($D27,$J27+1,10),IF($I27=0,$D27,""))))</f>
      </c>
      <c r="M27" s="29" cm="1">
        <f t="array" ref="M27">IF($L27="",0,_xlfn.IFERROR(FIND(".",SUBSTITUTE($L27,",",".")),0))</f>
        <v>0</v>
      </c>
      <c r="N27" s="29" cm="1">
        <f t="array" ref="N27">IF($E27="",10^9,$E27)</f>
        <v>1000000000</v>
      </c>
      <c r="O27" t="str" s="30" cm="1">
        <f t="array" ref="O27">IF($E27="","",SUM($E$11:$E27))</f>
      </c>
      <c r="P27" t="str" s="30" cm="1">
        <f t="array" ref="P27">IF($E27="","",($D$6/$D$7+$O27)/COUNT($E$11:$E27))</f>
      </c>
      <c r="Q27" s="29" cm="1">
        <f t="array" ref="Q27">IF($E27="",0,IF(AND($E27&lt;$P27,OR($E28="",$P27&lt;=$E28)),1,0))</f>
        <v>0</v>
      </c>
      <c r="R27" s="27" cm="1">
        <f t="array" ref="R27">IF($V$4=0,"",ROUND($V$4,1)-10+(27-11)*0.1)</f>
        <v>3146.8</v>
      </c>
      <c r="S27" s="28">
        <v>3000</v>
      </c>
      <c r="T27" t="str" s="30" cm="1">
        <f t="array" ref="T27">IF($E27="","",ROUND($G27/$D$8,0)*$D$8)</f>
      </c>
      <c r="U27" s="14"/>
      <c r="V27" s="8"/>
    </row>
    <row r="28" ht="13.55" customHeight="1">
      <c r="A28" t="str" s="30" cm="1">
        <f t="array" ref="A28">IF($E28="","",COUNT($E$11:$E28))</f>
      </c>
      <c r="B28" s="39"/>
      <c r="C28" s="39"/>
      <c r="D28" s="39"/>
      <c r="E28" t="str" s="30" cm="1">
        <f t="array" ref="E28">IF($D28="","",_xlfn.IFERROR(IF($I28=-1,IF($D28&lt;0.5,$D28*86400,IF($D28&lt;100,$D28*1440,$D28)),IF($I28=2,VALUE(LEFT($D28,$J28-1))*3600+VALUE(MID($D28,$J28+1,$K28-$J28-1))*60,IF($I28=1,VALUE(LEFT($D28,$J28-1))*60,0))+IF($M28=0,VALUE($L28),VALUE(LEFT($L28,$M28-1))+VALUE(MID($L28,$M28+1,10))/10^(LEN($L28)-$M28))),""))</f>
      </c>
      <c r="F28" t="str" s="30" cm="1">
        <f t="array" ref="F28">IF($E28="","",MAX(0,$I$7-$E28))</f>
      </c>
      <c r="G28" t="str" s="30" cm="1">
        <f t="array" ref="G28">IF($E28="","",$F28*$D$7)</f>
      </c>
      <c r="H28" t="str" s="30" cm="1">
        <f t="array" ref="H28">IF($E28="","",$T28+IF(AND($V$6&gt;=$D$8,COUNT($E$11:$E28)=$V$7+1),$D$8,0))</f>
      </c>
      <c r="I28" t="str" s="30" cm="1">
        <f t="array" ref="I28">IF($D28="","",IF(ISTEXT($D28),LEN($D28)-LEN(SUBSTITUTE($D28,":","")),-1))</f>
      </c>
      <c r="J28" s="29" cm="1">
        <f t="array" ref="J28">_xlfn.IFERROR(FIND(":",$D28),0)</f>
        <v>0</v>
      </c>
      <c r="K28" s="29" cm="1">
        <f t="array" ref="K28">_xlfn.IFERROR(FIND(":",$D28,$J28+1),0)</f>
        <v>0</v>
      </c>
      <c r="L28" t="str" s="30" cm="1">
        <f t="array" ref="L28">IF($D28="","",IF($I28=2,MID($D28,$K28+1,10),IF($I28=1,MID($D28,$J28+1,10),IF($I28=0,$D28,""))))</f>
      </c>
      <c r="M28" s="29" cm="1">
        <f t="array" ref="M28">IF($L28="",0,_xlfn.IFERROR(FIND(".",SUBSTITUTE($L28,",",".")),0))</f>
        <v>0</v>
      </c>
      <c r="N28" s="29" cm="1">
        <f t="array" ref="N28">IF($E28="",10^9,$E28)</f>
        <v>1000000000</v>
      </c>
      <c r="O28" t="str" s="30" cm="1">
        <f t="array" ref="O28">IF($E28="","",SUM($E$11:$E28))</f>
      </c>
      <c r="P28" t="str" s="30" cm="1">
        <f t="array" ref="P28">IF($E28="","",($D$6/$D$7+$O28)/COUNT($E$11:$E28))</f>
      </c>
      <c r="Q28" s="29" cm="1">
        <f t="array" ref="Q28">IF($E28="",0,IF(AND($E28&lt;$P28,OR($E29="",$P28&lt;=$E29)),1,0))</f>
        <v>0</v>
      </c>
      <c r="R28" s="27" cm="1">
        <f t="array" ref="R28">IF($V$4=0,"",ROUND($V$4,1)-10+(28-11)*0.1)</f>
        <v>3146.9</v>
      </c>
      <c r="S28" s="28">
        <v>3000</v>
      </c>
      <c r="T28" t="str" s="30" cm="1">
        <f t="array" ref="T28">IF($E28="","",ROUND($G28/$D$8,0)*$D$8)</f>
      </c>
      <c r="U28" s="14"/>
      <c r="V28" s="8"/>
    </row>
    <row r="29" ht="13.55" customHeight="1">
      <c r="A29" t="str" s="30" cm="1">
        <f t="array" ref="A29">IF($E29="","",COUNT($E$11:$E29))</f>
      </c>
      <c r="B29" s="39"/>
      <c r="C29" s="39"/>
      <c r="D29" s="39"/>
      <c r="E29" t="str" s="30" cm="1">
        <f t="array" ref="E29">IF($D29="","",_xlfn.IFERROR(IF($I29=-1,IF($D29&lt;0.5,$D29*86400,IF($D29&lt;100,$D29*1440,$D29)),IF($I29=2,VALUE(LEFT($D29,$J29-1))*3600+VALUE(MID($D29,$J29+1,$K29-$J29-1))*60,IF($I29=1,VALUE(LEFT($D29,$J29-1))*60,0))+IF($M29=0,VALUE($L29),VALUE(LEFT($L29,$M29-1))+VALUE(MID($L29,$M29+1,10))/10^(LEN($L29)-$M29))),""))</f>
      </c>
      <c r="F29" t="str" s="30" cm="1">
        <f t="array" ref="F29">IF($E29="","",MAX(0,$I$7-$E29))</f>
      </c>
      <c r="G29" t="str" s="30" cm="1">
        <f t="array" ref="G29">IF($E29="","",$F29*$D$7)</f>
      </c>
      <c r="H29" t="str" s="30" cm="1">
        <f t="array" ref="H29">IF($E29="","",$T29+IF(AND($V$6&gt;=$D$8,COUNT($E$11:$E29)=$V$7+1),$D$8,0))</f>
      </c>
      <c r="I29" t="str" s="30" cm="1">
        <f t="array" ref="I29">IF($D29="","",IF(ISTEXT($D29),LEN($D29)-LEN(SUBSTITUTE($D29,":","")),-1))</f>
      </c>
      <c r="J29" s="29" cm="1">
        <f t="array" ref="J29">_xlfn.IFERROR(FIND(":",$D29),0)</f>
        <v>0</v>
      </c>
      <c r="K29" s="29" cm="1">
        <f t="array" ref="K29">_xlfn.IFERROR(FIND(":",$D29,$J29+1),0)</f>
        <v>0</v>
      </c>
      <c r="L29" t="str" s="30" cm="1">
        <f t="array" ref="L29">IF($D29="","",IF($I29=2,MID($D29,$K29+1,10),IF($I29=1,MID($D29,$J29+1,10),IF($I29=0,$D29,""))))</f>
      </c>
      <c r="M29" s="29" cm="1">
        <f t="array" ref="M29">IF($L29="",0,_xlfn.IFERROR(FIND(".",SUBSTITUTE($L29,",",".")),0))</f>
        <v>0</v>
      </c>
      <c r="N29" s="29" cm="1">
        <f t="array" ref="N29">IF($E29="",10^9,$E29)</f>
        <v>1000000000</v>
      </c>
      <c r="O29" t="str" s="30" cm="1">
        <f t="array" ref="O29">IF($E29="","",SUM($E$11:$E29))</f>
      </c>
      <c r="P29" t="str" s="30" cm="1">
        <f t="array" ref="P29">IF($E29="","",($D$6/$D$7+$O29)/COUNT($E$11:$E29))</f>
      </c>
      <c r="Q29" s="29" cm="1">
        <f t="array" ref="Q29">IF($E29="",0,IF(AND($E29&lt;$P29,OR($E30="",$P29&lt;=$E30)),1,0))</f>
        <v>0</v>
      </c>
      <c r="R29" s="27" cm="1">
        <f t="array" ref="R29">IF($V$4=0,"",ROUND($V$4,1)-10+(29-11)*0.1)</f>
        <v>3147</v>
      </c>
      <c r="S29" s="28">
        <v>3000</v>
      </c>
      <c r="T29" t="str" s="30" cm="1">
        <f t="array" ref="T29">IF($E29="","",ROUND($G29/$D$8,0)*$D$8)</f>
      </c>
      <c r="U29" s="14"/>
      <c r="V29" s="8"/>
    </row>
    <row r="30" ht="13.55" customHeight="1">
      <c r="A30" t="str" s="30" cm="1">
        <f t="array" ref="A30">IF($E30="","",COUNT($E$11:$E30))</f>
      </c>
      <c r="B30" s="39"/>
      <c r="C30" s="39"/>
      <c r="D30" s="39"/>
      <c r="E30" t="str" s="30" cm="1">
        <f t="array" ref="E30">IF($D30="","",_xlfn.IFERROR(IF($I30=-1,IF($D30&lt;0.5,$D30*86400,IF($D30&lt;100,$D30*1440,$D30)),IF($I30=2,VALUE(LEFT($D30,$J30-1))*3600+VALUE(MID($D30,$J30+1,$K30-$J30-1))*60,IF($I30=1,VALUE(LEFT($D30,$J30-1))*60,0))+IF($M30=0,VALUE($L30),VALUE(LEFT($L30,$M30-1))+VALUE(MID($L30,$M30+1,10))/10^(LEN($L30)-$M30))),""))</f>
      </c>
      <c r="F30" t="str" s="30" cm="1">
        <f t="array" ref="F30">IF($E30="","",MAX(0,$I$7-$E30))</f>
      </c>
      <c r="G30" t="str" s="30" cm="1">
        <f t="array" ref="G30">IF($E30="","",$F30*$D$7)</f>
      </c>
      <c r="H30" t="str" s="30" cm="1">
        <f t="array" ref="H30">IF($E30="","",$T30+IF(AND($V$6&gt;=$D$8,COUNT($E$11:$E30)=$V$7+1),$D$8,0))</f>
      </c>
      <c r="I30" t="str" s="30" cm="1">
        <f t="array" ref="I30">IF($D30="","",IF(ISTEXT($D30),LEN($D30)-LEN(SUBSTITUTE($D30,":","")),-1))</f>
      </c>
      <c r="J30" s="29" cm="1">
        <f t="array" ref="J30">_xlfn.IFERROR(FIND(":",$D30),0)</f>
        <v>0</v>
      </c>
      <c r="K30" s="29" cm="1">
        <f t="array" ref="K30">_xlfn.IFERROR(FIND(":",$D30,$J30+1),0)</f>
        <v>0</v>
      </c>
      <c r="L30" t="str" s="30" cm="1">
        <f t="array" ref="L30">IF($D30="","",IF($I30=2,MID($D30,$K30+1,10),IF($I30=1,MID($D30,$J30+1,10),IF($I30=0,$D30,""))))</f>
      </c>
      <c r="M30" s="29" cm="1">
        <f t="array" ref="M30">IF($L30="",0,_xlfn.IFERROR(FIND(".",SUBSTITUTE($L30,",",".")),0))</f>
        <v>0</v>
      </c>
      <c r="N30" s="29" cm="1">
        <f t="array" ref="N30">IF($E30="",10^9,$E30)</f>
        <v>1000000000</v>
      </c>
      <c r="O30" t="str" s="30" cm="1">
        <f t="array" ref="O30">IF($E30="","",SUM($E$11:$E30))</f>
      </c>
      <c r="P30" t="str" s="30" cm="1">
        <f t="array" ref="P30">IF($E30="","",($D$6/$D$7+$O30)/COUNT($E$11:$E30))</f>
      </c>
      <c r="Q30" s="29" cm="1">
        <f t="array" ref="Q30">IF($E30="",0,IF(AND($E30&lt;$P30,OR($E31="",$P30&lt;=$E31)),1,0))</f>
        <v>0</v>
      </c>
      <c r="R30" s="27" cm="1">
        <f t="array" ref="R30">IF($V$4=0,"",ROUND($V$4,1)-10+(30-11)*0.1)</f>
        <v>3147.1</v>
      </c>
      <c r="S30" s="28">
        <v>3000</v>
      </c>
      <c r="T30" t="str" s="30" cm="1">
        <f t="array" ref="T30">IF($E30="","",ROUND($G30/$D$8,0)*$D$8)</f>
      </c>
      <c r="U30" s="14"/>
      <c r="V30" s="8"/>
    </row>
    <row r="31" ht="13.55" customHeight="1">
      <c r="A31" t="str" s="30" cm="1">
        <f t="array" ref="A31">IF($E31="","",COUNT($E$11:$E31))</f>
      </c>
      <c r="B31" s="39"/>
      <c r="C31" s="39"/>
      <c r="D31" s="39"/>
      <c r="E31" t="str" s="30" cm="1">
        <f t="array" ref="E31">IF($D31="","",_xlfn.IFERROR(IF($I31=-1,IF($D31&lt;0.5,$D31*86400,IF($D31&lt;100,$D31*1440,$D31)),IF($I31=2,VALUE(LEFT($D31,$J31-1))*3600+VALUE(MID($D31,$J31+1,$K31-$J31-1))*60,IF($I31=1,VALUE(LEFT($D31,$J31-1))*60,0))+IF($M31=0,VALUE($L31),VALUE(LEFT($L31,$M31-1))+VALUE(MID($L31,$M31+1,10))/10^(LEN($L31)-$M31))),""))</f>
      </c>
      <c r="F31" t="str" s="30" cm="1">
        <f t="array" ref="F31">IF($E31="","",MAX(0,$I$7-$E31))</f>
      </c>
      <c r="G31" t="str" s="30" cm="1">
        <f t="array" ref="G31">IF($E31="","",$F31*$D$7)</f>
      </c>
      <c r="H31" t="str" s="30" cm="1">
        <f t="array" ref="H31">IF($E31="","",$T31+IF(AND($V$6&gt;=$D$8,COUNT($E$11:$E31)=$V$7+1),$D$8,0))</f>
      </c>
      <c r="I31" t="str" s="30" cm="1">
        <f t="array" ref="I31">IF($D31="","",IF(ISTEXT($D31),LEN($D31)-LEN(SUBSTITUTE($D31,":","")),-1))</f>
      </c>
      <c r="J31" s="29" cm="1">
        <f t="array" ref="J31">_xlfn.IFERROR(FIND(":",$D31),0)</f>
        <v>0</v>
      </c>
      <c r="K31" s="29" cm="1">
        <f t="array" ref="K31">_xlfn.IFERROR(FIND(":",$D31,$J31+1),0)</f>
        <v>0</v>
      </c>
      <c r="L31" t="str" s="30" cm="1">
        <f t="array" ref="L31">IF($D31="","",IF($I31=2,MID($D31,$K31+1,10),IF($I31=1,MID($D31,$J31+1,10),IF($I31=0,$D31,""))))</f>
      </c>
      <c r="M31" s="29" cm="1">
        <f t="array" ref="M31">IF($L31="",0,_xlfn.IFERROR(FIND(".",SUBSTITUTE($L31,",",".")),0))</f>
        <v>0</v>
      </c>
      <c r="N31" s="29" cm="1">
        <f t="array" ref="N31">IF($E31="",10^9,$E31)</f>
        <v>1000000000</v>
      </c>
      <c r="O31" t="str" s="30" cm="1">
        <f t="array" ref="O31">IF($E31="","",SUM($E$11:$E31))</f>
      </c>
      <c r="P31" t="str" s="30" cm="1">
        <f t="array" ref="P31">IF($E31="","",($D$6/$D$7+$O31)/COUNT($E$11:$E31))</f>
      </c>
      <c r="Q31" s="29" cm="1">
        <f t="array" ref="Q31">IF($E31="",0,IF(AND($E31&lt;$P31,OR($E32="",$P31&lt;=$E32)),1,0))</f>
        <v>0</v>
      </c>
      <c r="R31" s="27" cm="1">
        <f t="array" ref="R31">IF($V$4=0,"",ROUND($V$4,1)-10+(31-11)*0.1)</f>
        <v>3147.2</v>
      </c>
      <c r="S31" s="28">
        <v>3000</v>
      </c>
      <c r="T31" t="str" s="30" cm="1">
        <f t="array" ref="T31">IF($E31="","",ROUND($G31/$D$8,0)*$D$8)</f>
      </c>
      <c r="U31" s="14"/>
      <c r="V31" s="8"/>
    </row>
    <row r="32" ht="13.55" customHeight="1">
      <c r="A32" t="str" s="30" cm="1">
        <f t="array" ref="A32">IF($E32="","",COUNT($E$11:$E32))</f>
      </c>
      <c r="B32" s="39"/>
      <c r="C32" s="39"/>
      <c r="D32" s="39"/>
      <c r="E32" t="str" s="30" cm="1">
        <f t="array" ref="E32">IF($D32="","",_xlfn.IFERROR(IF($I32=-1,IF($D32&lt;0.5,$D32*86400,IF($D32&lt;100,$D32*1440,$D32)),IF($I32=2,VALUE(LEFT($D32,$J32-1))*3600+VALUE(MID($D32,$J32+1,$K32-$J32-1))*60,IF($I32=1,VALUE(LEFT($D32,$J32-1))*60,0))+IF($M32=0,VALUE($L32),VALUE(LEFT($L32,$M32-1))+VALUE(MID($L32,$M32+1,10))/10^(LEN($L32)-$M32))),""))</f>
      </c>
      <c r="F32" t="str" s="30" cm="1">
        <f t="array" ref="F32">IF($E32="","",MAX(0,$I$7-$E32))</f>
      </c>
      <c r="G32" t="str" s="30" cm="1">
        <f t="array" ref="G32">IF($E32="","",$F32*$D$7)</f>
      </c>
      <c r="H32" t="str" s="30" cm="1">
        <f t="array" ref="H32">IF($E32="","",$T32+IF(AND($V$6&gt;=$D$8,COUNT($E$11:$E32)=$V$7+1),$D$8,0))</f>
      </c>
      <c r="I32" t="str" s="30" cm="1">
        <f t="array" ref="I32">IF($D32="","",IF(ISTEXT($D32),LEN($D32)-LEN(SUBSTITUTE($D32,":","")),-1))</f>
      </c>
      <c r="J32" s="29" cm="1">
        <f t="array" ref="J32">_xlfn.IFERROR(FIND(":",$D32),0)</f>
        <v>0</v>
      </c>
      <c r="K32" s="29" cm="1">
        <f t="array" ref="K32">_xlfn.IFERROR(FIND(":",$D32,$J32+1),0)</f>
        <v>0</v>
      </c>
      <c r="L32" t="str" s="30" cm="1">
        <f t="array" ref="L32">IF($D32="","",IF($I32=2,MID($D32,$K32+1,10),IF($I32=1,MID($D32,$J32+1,10),IF($I32=0,$D32,""))))</f>
      </c>
      <c r="M32" s="29" cm="1">
        <f t="array" ref="M32">IF($L32="",0,_xlfn.IFERROR(FIND(".",SUBSTITUTE($L32,",",".")),0))</f>
        <v>0</v>
      </c>
      <c r="N32" s="29" cm="1">
        <f t="array" ref="N32">IF($E32="",10^9,$E32)</f>
        <v>1000000000</v>
      </c>
      <c r="O32" t="str" s="30" cm="1">
        <f t="array" ref="O32">IF($E32="","",SUM($E$11:$E32))</f>
      </c>
      <c r="P32" t="str" s="30" cm="1">
        <f t="array" ref="P32">IF($E32="","",($D$6/$D$7+$O32)/COUNT($E$11:$E32))</f>
      </c>
      <c r="Q32" s="29" cm="1">
        <f t="array" ref="Q32">IF($E32="",0,IF(AND($E32&lt;$P32,OR($E33="",$P32&lt;=$E33)),1,0))</f>
        <v>0</v>
      </c>
      <c r="R32" s="27" cm="1">
        <f t="array" ref="R32">IF($V$4=0,"",ROUND($V$4,1)-10+(32-11)*0.1)</f>
        <v>3147.3</v>
      </c>
      <c r="S32" s="28">
        <v>3000</v>
      </c>
      <c r="T32" t="str" s="30" cm="1">
        <f t="array" ref="T32">IF($E32="","",ROUND($G32/$D$8,0)*$D$8)</f>
      </c>
      <c r="U32" s="14"/>
      <c r="V32" s="8"/>
    </row>
    <row r="33" ht="13.55" customHeight="1">
      <c r="A33" t="str" s="30" cm="1">
        <f t="array" ref="A33">IF($E33="","",COUNT($E$11:$E33))</f>
      </c>
      <c r="B33" s="39"/>
      <c r="C33" s="39"/>
      <c r="D33" s="39"/>
      <c r="E33" t="str" s="30" cm="1">
        <f t="array" ref="E33">IF($D33="","",_xlfn.IFERROR(IF($I33=-1,IF($D33&lt;0.5,$D33*86400,IF($D33&lt;100,$D33*1440,$D33)),IF($I33=2,VALUE(LEFT($D33,$J33-1))*3600+VALUE(MID($D33,$J33+1,$K33-$J33-1))*60,IF($I33=1,VALUE(LEFT($D33,$J33-1))*60,0))+IF($M33=0,VALUE($L33),VALUE(LEFT($L33,$M33-1))+VALUE(MID($L33,$M33+1,10))/10^(LEN($L33)-$M33))),""))</f>
      </c>
      <c r="F33" t="str" s="30" cm="1">
        <f t="array" ref="F33">IF($E33="","",MAX(0,$I$7-$E33))</f>
      </c>
      <c r="G33" t="str" s="30" cm="1">
        <f t="array" ref="G33">IF($E33="","",$F33*$D$7)</f>
      </c>
      <c r="H33" t="str" s="30" cm="1">
        <f t="array" ref="H33">IF($E33="","",$T33+IF(AND($V$6&gt;=$D$8,COUNT($E$11:$E33)=$V$7+1),$D$8,0))</f>
      </c>
      <c r="I33" t="str" s="30" cm="1">
        <f t="array" ref="I33">IF($D33="","",IF(ISTEXT($D33),LEN($D33)-LEN(SUBSTITUTE($D33,":","")),-1))</f>
      </c>
      <c r="J33" s="29" cm="1">
        <f t="array" ref="J33">_xlfn.IFERROR(FIND(":",$D33),0)</f>
        <v>0</v>
      </c>
      <c r="K33" s="29" cm="1">
        <f t="array" ref="K33">_xlfn.IFERROR(FIND(":",$D33,$J33+1),0)</f>
        <v>0</v>
      </c>
      <c r="L33" t="str" s="30" cm="1">
        <f t="array" ref="L33">IF($D33="","",IF($I33=2,MID($D33,$K33+1,10),IF($I33=1,MID($D33,$J33+1,10),IF($I33=0,$D33,""))))</f>
      </c>
      <c r="M33" s="29" cm="1">
        <f t="array" ref="M33">IF($L33="",0,_xlfn.IFERROR(FIND(".",SUBSTITUTE($L33,",",".")),0))</f>
        <v>0</v>
      </c>
      <c r="N33" s="29" cm="1">
        <f t="array" ref="N33">IF($E33="",10^9,$E33)</f>
        <v>1000000000</v>
      </c>
      <c r="O33" t="str" s="30" cm="1">
        <f t="array" ref="O33">IF($E33="","",SUM($E$11:$E33))</f>
      </c>
      <c r="P33" t="str" s="30" cm="1">
        <f t="array" ref="P33">IF($E33="","",($D$6/$D$7+$O33)/COUNT($E$11:$E33))</f>
      </c>
      <c r="Q33" s="29" cm="1">
        <f t="array" ref="Q33">IF($E33="",0,IF(AND($E33&lt;$P33,OR($E34="",$P33&lt;=$E34)),1,0))</f>
        <v>0</v>
      </c>
      <c r="R33" s="27" cm="1">
        <f t="array" ref="R33">IF($V$4=0,"",ROUND($V$4,1)-10+(33-11)*0.1)</f>
        <v>3147.4</v>
      </c>
      <c r="S33" s="28">
        <v>3000</v>
      </c>
      <c r="T33" t="str" s="30" cm="1">
        <f t="array" ref="T33">IF($E33="","",ROUND($G33/$D$8,0)*$D$8)</f>
      </c>
      <c r="U33" s="14"/>
      <c r="V33" s="8"/>
    </row>
    <row r="34" ht="13.55" customHeight="1">
      <c r="A34" t="str" s="30" cm="1">
        <f t="array" ref="A34">IF($E34="","",COUNT($E$11:$E34))</f>
      </c>
      <c r="B34" s="39"/>
      <c r="C34" s="39"/>
      <c r="D34" s="39"/>
      <c r="E34" t="str" s="30" cm="1">
        <f t="array" ref="E34">IF($D34="","",_xlfn.IFERROR(IF($I34=-1,IF($D34&lt;0.5,$D34*86400,IF($D34&lt;100,$D34*1440,$D34)),IF($I34=2,VALUE(LEFT($D34,$J34-1))*3600+VALUE(MID($D34,$J34+1,$K34-$J34-1))*60,IF($I34=1,VALUE(LEFT($D34,$J34-1))*60,0))+IF($M34=0,VALUE($L34),VALUE(LEFT($L34,$M34-1))+VALUE(MID($L34,$M34+1,10))/10^(LEN($L34)-$M34))),""))</f>
      </c>
      <c r="F34" t="str" s="30" cm="1">
        <f t="array" ref="F34">IF($E34="","",MAX(0,$I$7-$E34))</f>
      </c>
      <c r="G34" t="str" s="30" cm="1">
        <f t="array" ref="G34">IF($E34="","",$F34*$D$7)</f>
      </c>
      <c r="H34" t="str" s="30" cm="1">
        <f t="array" ref="H34">IF($E34="","",$T34+IF(AND($V$6&gt;=$D$8,COUNT($E$11:$E34)=$V$7+1),$D$8,0))</f>
      </c>
      <c r="I34" t="str" s="30" cm="1">
        <f t="array" ref="I34">IF($D34="","",IF(ISTEXT($D34),LEN($D34)-LEN(SUBSTITUTE($D34,":","")),-1))</f>
      </c>
      <c r="J34" s="29" cm="1">
        <f t="array" ref="J34">_xlfn.IFERROR(FIND(":",$D34),0)</f>
        <v>0</v>
      </c>
      <c r="K34" s="29" cm="1">
        <f t="array" ref="K34">_xlfn.IFERROR(FIND(":",$D34,$J34+1),0)</f>
        <v>0</v>
      </c>
      <c r="L34" t="str" s="30" cm="1">
        <f t="array" ref="L34">IF($D34="","",IF($I34=2,MID($D34,$K34+1,10),IF($I34=1,MID($D34,$J34+1,10),IF($I34=0,$D34,""))))</f>
      </c>
      <c r="M34" s="29" cm="1">
        <f t="array" ref="M34">IF($L34="",0,_xlfn.IFERROR(FIND(".",SUBSTITUTE($L34,",",".")),0))</f>
        <v>0</v>
      </c>
      <c r="N34" s="29" cm="1">
        <f t="array" ref="N34">IF($E34="",10^9,$E34)</f>
        <v>1000000000</v>
      </c>
      <c r="O34" t="str" s="30" cm="1">
        <f t="array" ref="O34">IF($E34="","",SUM($E$11:$E34))</f>
      </c>
      <c r="P34" t="str" s="30" cm="1">
        <f t="array" ref="P34">IF($E34="","",($D$6/$D$7+$O34)/COUNT($E$11:$E34))</f>
      </c>
      <c r="Q34" s="29" cm="1">
        <f t="array" ref="Q34">IF($E34="",0,IF(AND($E34&lt;$P34,OR($E35="",$P34&lt;=$E35)),1,0))</f>
        <v>0</v>
      </c>
      <c r="R34" s="27" cm="1">
        <f t="array" ref="R34">IF($V$4=0,"",ROUND($V$4,1)-10+(34-11)*0.1)</f>
        <v>3147.5</v>
      </c>
      <c r="S34" s="28">
        <v>3000</v>
      </c>
      <c r="T34" t="str" s="30" cm="1">
        <f t="array" ref="T34">IF($E34="","",ROUND($G34/$D$8,0)*$D$8)</f>
      </c>
      <c r="U34" s="14"/>
      <c r="V34" s="8"/>
    </row>
    <row r="35" ht="13.55" customHeight="1">
      <c r="A35" t="str" s="30" cm="1">
        <f t="array" ref="A35">IF($E35="","",COUNT($E$11:$E35))</f>
      </c>
      <c r="B35" s="39"/>
      <c r="C35" s="39"/>
      <c r="D35" s="39"/>
      <c r="E35" t="str" s="30" cm="1">
        <f t="array" ref="E35">IF($D35="","",_xlfn.IFERROR(IF($I35=-1,IF($D35&lt;0.5,$D35*86400,IF($D35&lt;100,$D35*1440,$D35)),IF($I35=2,VALUE(LEFT($D35,$J35-1))*3600+VALUE(MID($D35,$J35+1,$K35-$J35-1))*60,IF($I35=1,VALUE(LEFT($D35,$J35-1))*60,0))+IF($M35=0,VALUE($L35),VALUE(LEFT($L35,$M35-1))+VALUE(MID($L35,$M35+1,10))/10^(LEN($L35)-$M35))),""))</f>
      </c>
      <c r="F35" t="str" s="30" cm="1">
        <f t="array" ref="F35">IF($E35="","",MAX(0,$I$7-$E35))</f>
      </c>
      <c r="G35" t="str" s="30" cm="1">
        <f t="array" ref="G35">IF($E35="","",$F35*$D$7)</f>
      </c>
      <c r="H35" t="str" s="30" cm="1">
        <f t="array" ref="H35">IF($E35="","",$T35+IF(AND($V$6&gt;=$D$8,COUNT($E$11:$E35)=$V$7+1),$D$8,0))</f>
      </c>
      <c r="I35" t="str" s="30" cm="1">
        <f t="array" ref="I35">IF($D35="","",IF(ISTEXT($D35),LEN($D35)-LEN(SUBSTITUTE($D35,":","")),-1))</f>
      </c>
      <c r="J35" s="29" cm="1">
        <f t="array" ref="J35">_xlfn.IFERROR(FIND(":",$D35),0)</f>
        <v>0</v>
      </c>
      <c r="K35" s="29" cm="1">
        <f t="array" ref="K35">_xlfn.IFERROR(FIND(":",$D35,$J35+1),0)</f>
        <v>0</v>
      </c>
      <c r="L35" t="str" s="30" cm="1">
        <f t="array" ref="L35">IF($D35="","",IF($I35=2,MID($D35,$K35+1,10),IF($I35=1,MID($D35,$J35+1,10),IF($I35=0,$D35,""))))</f>
      </c>
      <c r="M35" s="29" cm="1">
        <f t="array" ref="M35">IF($L35="",0,_xlfn.IFERROR(FIND(".",SUBSTITUTE($L35,",",".")),0))</f>
        <v>0</v>
      </c>
      <c r="N35" s="29" cm="1">
        <f t="array" ref="N35">IF($E35="",10^9,$E35)</f>
        <v>1000000000</v>
      </c>
      <c r="O35" t="str" s="30" cm="1">
        <f t="array" ref="O35">IF($E35="","",SUM($E$11:$E35))</f>
      </c>
      <c r="P35" t="str" s="30" cm="1">
        <f t="array" ref="P35">IF($E35="","",($D$6/$D$7+$O35)/COUNT($E$11:$E35))</f>
      </c>
      <c r="Q35" s="29" cm="1">
        <f t="array" ref="Q35">IF($E35="",0,IF(AND($E35&lt;$P35,OR($E36="",$P35&lt;=$E36)),1,0))</f>
        <v>0</v>
      </c>
      <c r="R35" s="27" cm="1">
        <f t="array" ref="R35">IF($V$4=0,"",ROUND($V$4,1)-10+(35-11)*0.1)</f>
        <v>3147.6</v>
      </c>
      <c r="S35" s="28">
        <v>3000</v>
      </c>
      <c r="T35" t="str" s="30" cm="1">
        <f t="array" ref="T35">IF($E35="","",ROUND($G35/$D$8,0)*$D$8)</f>
      </c>
      <c r="U35" s="14"/>
      <c r="V35" s="8"/>
    </row>
    <row r="36" ht="13.55" customHeight="1">
      <c r="A36" t="str" s="30" cm="1">
        <f t="array" ref="A36">IF($E36="","",COUNT($E$11:$E36))</f>
      </c>
      <c r="B36" s="39"/>
      <c r="C36" s="39"/>
      <c r="D36" s="39"/>
      <c r="E36" t="str" s="30" cm="1">
        <f t="array" ref="E36">IF($D36="","",_xlfn.IFERROR(IF($I36=-1,IF($D36&lt;0.5,$D36*86400,IF($D36&lt;100,$D36*1440,$D36)),IF($I36=2,VALUE(LEFT($D36,$J36-1))*3600+VALUE(MID($D36,$J36+1,$K36-$J36-1))*60,IF($I36=1,VALUE(LEFT($D36,$J36-1))*60,0))+IF($M36=0,VALUE($L36),VALUE(LEFT($L36,$M36-1))+VALUE(MID($L36,$M36+1,10))/10^(LEN($L36)-$M36))),""))</f>
      </c>
      <c r="F36" t="str" s="30" cm="1">
        <f t="array" ref="F36">IF($E36="","",MAX(0,$I$7-$E36))</f>
      </c>
      <c r="G36" t="str" s="30" cm="1">
        <f t="array" ref="G36">IF($E36="","",$F36*$D$7)</f>
      </c>
      <c r="H36" t="str" s="30" cm="1">
        <f t="array" ref="H36">IF($E36="","",$T36+IF(AND($V$6&gt;=$D$8,COUNT($E$11:$E36)=$V$7+1),$D$8,0))</f>
      </c>
      <c r="I36" t="str" s="30" cm="1">
        <f t="array" ref="I36">IF($D36="","",IF(ISTEXT($D36),LEN($D36)-LEN(SUBSTITUTE($D36,":","")),-1))</f>
      </c>
      <c r="J36" s="29" cm="1">
        <f t="array" ref="J36">_xlfn.IFERROR(FIND(":",$D36),0)</f>
        <v>0</v>
      </c>
      <c r="K36" s="29" cm="1">
        <f t="array" ref="K36">_xlfn.IFERROR(FIND(":",$D36,$J36+1),0)</f>
        <v>0</v>
      </c>
      <c r="L36" t="str" s="30" cm="1">
        <f t="array" ref="L36">IF($D36="","",IF($I36=2,MID($D36,$K36+1,10),IF($I36=1,MID($D36,$J36+1,10),IF($I36=0,$D36,""))))</f>
      </c>
      <c r="M36" s="29" cm="1">
        <f t="array" ref="M36">IF($L36="",0,_xlfn.IFERROR(FIND(".",SUBSTITUTE($L36,",",".")),0))</f>
        <v>0</v>
      </c>
      <c r="N36" s="29" cm="1">
        <f t="array" ref="N36">IF($E36="",10^9,$E36)</f>
        <v>1000000000</v>
      </c>
      <c r="O36" t="str" s="30" cm="1">
        <f t="array" ref="O36">IF($E36="","",SUM($E$11:$E36))</f>
      </c>
      <c r="P36" t="str" s="30" cm="1">
        <f t="array" ref="P36">IF($E36="","",($D$6/$D$7+$O36)/COUNT($E$11:$E36))</f>
      </c>
      <c r="Q36" s="29" cm="1">
        <f t="array" ref="Q36">IF($E36="",0,IF(AND($E36&lt;$P36,OR($E37="",$P36&lt;=$E37)),1,0))</f>
        <v>0</v>
      </c>
      <c r="R36" s="27" cm="1">
        <f t="array" ref="R36">IF($V$4=0,"",ROUND($V$4,1)-10+(36-11)*0.1)</f>
        <v>3147.7</v>
      </c>
      <c r="S36" s="28">
        <v>3000</v>
      </c>
      <c r="T36" t="str" s="30" cm="1">
        <f t="array" ref="T36">IF($E36="","",ROUND($G36/$D$8,0)*$D$8)</f>
      </c>
      <c r="U36" s="14"/>
      <c r="V36" s="8"/>
    </row>
    <row r="37" ht="13.55" customHeight="1">
      <c r="A37" t="str" s="30" cm="1">
        <f t="array" ref="A37">IF($E37="","",COUNT($E$11:$E37))</f>
      </c>
      <c r="B37" s="39"/>
      <c r="C37" s="39"/>
      <c r="D37" s="39"/>
      <c r="E37" t="str" s="30" cm="1">
        <f t="array" ref="E37">IF($D37="","",_xlfn.IFERROR(IF($I37=-1,IF($D37&lt;0.5,$D37*86400,IF($D37&lt;100,$D37*1440,$D37)),IF($I37=2,VALUE(LEFT($D37,$J37-1))*3600+VALUE(MID($D37,$J37+1,$K37-$J37-1))*60,IF($I37=1,VALUE(LEFT($D37,$J37-1))*60,0))+IF($M37=0,VALUE($L37),VALUE(LEFT($L37,$M37-1))+VALUE(MID($L37,$M37+1,10))/10^(LEN($L37)-$M37))),""))</f>
      </c>
      <c r="F37" t="str" s="30" cm="1">
        <f t="array" ref="F37">IF($E37="","",MAX(0,$I$7-$E37))</f>
      </c>
      <c r="G37" t="str" s="30" cm="1">
        <f t="array" ref="G37">IF($E37="","",$F37*$D$7)</f>
      </c>
      <c r="H37" t="str" s="30" cm="1">
        <f t="array" ref="H37">IF($E37="","",$T37+IF(AND($V$6&gt;=$D$8,COUNT($E$11:$E37)=$V$7+1),$D$8,0))</f>
      </c>
      <c r="I37" t="str" s="30" cm="1">
        <f t="array" ref="I37">IF($D37="","",IF(ISTEXT($D37),LEN($D37)-LEN(SUBSTITUTE($D37,":","")),-1))</f>
      </c>
      <c r="J37" s="29" cm="1">
        <f t="array" ref="J37">_xlfn.IFERROR(FIND(":",$D37),0)</f>
        <v>0</v>
      </c>
      <c r="K37" s="29" cm="1">
        <f t="array" ref="K37">_xlfn.IFERROR(FIND(":",$D37,$J37+1),0)</f>
        <v>0</v>
      </c>
      <c r="L37" t="str" s="30" cm="1">
        <f t="array" ref="L37">IF($D37="","",IF($I37=2,MID($D37,$K37+1,10),IF($I37=1,MID($D37,$J37+1,10),IF($I37=0,$D37,""))))</f>
      </c>
      <c r="M37" s="29" cm="1">
        <f t="array" ref="M37">IF($L37="",0,_xlfn.IFERROR(FIND(".",SUBSTITUTE($L37,",",".")),0))</f>
        <v>0</v>
      </c>
      <c r="N37" s="29" cm="1">
        <f t="array" ref="N37">IF($E37="",10^9,$E37)</f>
        <v>1000000000</v>
      </c>
      <c r="O37" t="str" s="30" cm="1">
        <f t="array" ref="O37">IF($E37="","",SUM($E$11:$E37))</f>
      </c>
      <c r="P37" t="str" s="30" cm="1">
        <f t="array" ref="P37">IF($E37="","",($D$6/$D$7+$O37)/COUNT($E$11:$E37))</f>
      </c>
      <c r="Q37" s="29" cm="1">
        <f t="array" ref="Q37">IF($E37="",0,IF(AND($E37&lt;$P37,OR($E38="",$P37&lt;=$E38)),1,0))</f>
        <v>0</v>
      </c>
      <c r="R37" s="27" cm="1">
        <f t="array" ref="R37">IF($V$4=0,"",ROUND($V$4,1)-10+(37-11)*0.1)</f>
        <v>3147.8</v>
      </c>
      <c r="S37" s="28">
        <v>3000</v>
      </c>
      <c r="T37" t="str" s="30" cm="1">
        <f t="array" ref="T37">IF($E37="","",ROUND($G37/$D$8,0)*$D$8)</f>
      </c>
      <c r="U37" s="14"/>
      <c r="V37" s="8"/>
    </row>
    <row r="38" ht="13.55" customHeight="1">
      <c r="A38" t="str" s="30" cm="1">
        <f t="array" ref="A38">IF($E38="","",COUNT($E$11:$E38))</f>
      </c>
      <c r="B38" s="39"/>
      <c r="C38" s="39"/>
      <c r="D38" s="39"/>
      <c r="E38" t="str" s="30" cm="1">
        <f t="array" ref="E38">IF($D38="","",_xlfn.IFERROR(IF($I38=-1,IF($D38&lt;0.5,$D38*86400,IF($D38&lt;100,$D38*1440,$D38)),IF($I38=2,VALUE(LEFT($D38,$J38-1))*3600+VALUE(MID($D38,$J38+1,$K38-$J38-1))*60,IF($I38=1,VALUE(LEFT($D38,$J38-1))*60,0))+IF($M38=0,VALUE($L38),VALUE(LEFT($L38,$M38-1))+VALUE(MID($L38,$M38+1,10))/10^(LEN($L38)-$M38))),""))</f>
      </c>
      <c r="F38" t="str" s="30" cm="1">
        <f t="array" ref="F38">IF($E38="","",MAX(0,$I$7-$E38))</f>
      </c>
      <c r="G38" t="str" s="30" cm="1">
        <f t="array" ref="G38">IF($E38="","",$F38*$D$7)</f>
      </c>
      <c r="H38" t="str" s="30" cm="1">
        <f t="array" ref="H38">IF($E38="","",$T38+IF(AND($V$6&gt;=$D$8,COUNT($E$11:$E38)=$V$7+1),$D$8,0))</f>
      </c>
      <c r="I38" t="str" s="30" cm="1">
        <f t="array" ref="I38">IF($D38="","",IF(ISTEXT($D38),LEN($D38)-LEN(SUBSTITUTE($D38,":","")),-1))</f>
      </c>
      <c r="J38" s="29" cm="1">
        <f t="array" ref="J38">_xlfn.IFERROR(FIND(":",$D38),0)</f>
        <v>0</v>
      </c>
      <c r="K38" s="29" cm="1">
        <f t="array" ref="K38">_xlfn.IFERROR(FIND(":",$D38,$J38+1),0)</f>
        <v>0</v>
      </c>
      <c r="L38" t="str" s="30" cm="1">
        <f t="array" ref="L38">IF($D38="","",IF($I38=2,MID($D38,$K38+1,10),IF($I38=1,MID($D38,$J38+1,10),IF($I38=0,$D38,""))))</f>
      </c>
      <c r="M38" s="29" cm="1">
        <f t="array" ref="M38">IF($L38="",0,_xlfn.IFERROR(FIND(".",SUBSTITUTE($L38,",",".")),0))</f>
        <v>0</v>
      </c>
      <c r="N38" s="29" cm="1">
        <f t="array" ref="N38">IF($E38="",10^9,$E38)</f>
        <v>1000000000</v>
      </c>
      <c r="O38" t="str" s="30" cm="1">
        <f t="array" ref="O38">IF($E38="","",SUM($E$11:$E38))</f>
      </c>
      <c r="P38" t="str" s="30" cm="1">
        <f t="array" ref="P38">IF($E38="","",($D$6/$D$7+$O38)/COUNT($E$11:$E38))</f>
      </c>
      <c r="Q38" s="29" cm="1">
        <f t="array" ref="Q38">IF($E38="",0,IF(AND($E38&lt;$P38,OR($E39="",$P38&lt;=$E39)),1,0))</f>
        <v>0</v>
      </c>
      <c r="R38" s="27" cm="1">
        <f t="array" ref="R38">IF($V$4=0,"",ROUND($V$4,1)-10+(38-11)*0.1)</f>
        <v>3147.9</v>
      </c>
      <c r="S38" s="28">
        <v>3000</v>
      </c>
      <c r="T38" t="str" s="30" cm="1">
        <f t="array" ref="T38">IF($E38="","",ROUND($G38/$D$8,0)*$D$8)</f>
      </c>
      <c r="U38" s="14"/>
      <c r="V38" s="8"/>
    </row>
    <row r="39" ht="13.55" customHeight="1">
      <c r="A39" t="str" s="30" cm="1">
        <f t="array" ref="A39">IF($E39="","",COUNT($E$11:$E39))</f>
      </c>
      <c r="B39" s="39"/>
      <c r="C39" s="39"/>
      <c r="D39" s="39"/>
      <c r="E39" t="str" s="30" cm="1">
        <f t="array" ref="E39">IF($D39="","",_xlfn.IFERROR(IF($I39=-1,IF($D39&lt;0.5,$D39*86400,IF($D39&lt;100,$D39*1440,$D39)),IF($I39=2,VALUE(LEFT($D39,$J39-1))*3600+VALUE(MID($D39,$J39+1,$K39-$J39-1))*60,IF($I39=1,VALUE(LEFT($D39,$J39-1))*60,0))+IF($M39=0,VALUE($L39),VALUE(LEFT($L39,$M39-1))+VALUE(MID($L39,$M39+1,10))/10^(LEN($L39)-$M39))),""))</f>
      </c>
      <c r="F39" t="str" s="30" cm="1">
        <f t="array" ref="F39">IF($E39="","",MAX(0,$I$7-$E39))</f>
      </c>
      <c r="G39" t="str" s="30" cm="1">
        <f t="array" ref="G39">IF($E39="","",$F39*$D$7)</f>
      </c>
      <c r="H39" t="str" s="30" cm="1">
        <f t="array" ref="H39">IF($E39="","",$T39+IF(AND($V$6&gt;=$D$8,COUNT($E$11:$E39)=$V$7+1),$D$8,0))</f>
      </c>
      <c r="I39" t="str" s="30" cm="1">
        <f t="array" ref="I39">IF($D39="","",IF(ISTEXT($D39),LEN($D39)-LEN(SUBSTITUTE($D39,":","")),-1))</f>
      </c>
      <c r="J39" s="29" cm="1">
        <f t="array" ref="J39">_xlfn.IFERROR(FIND(":",$D39),0)</f>
        <v>0</v>
      </c>
      <c r="K39" s="29" cm="1">
        <f t="array" ref="K39">_xlfn.IFERROR(FIND(":",$D39,$J39+1),0)</f>
        <v>0</v>
      </c>
      <c r="L39" t="str" s="30" cm="1">
        <f t="array" ref="L39">IF($D39="","",IF($I39=2,MID($D39,$K39+1,10),IF($I39=1,MID($D39,$J39+1,10),IF($I39=0,$D39,""))))</f>
      </c>
      <c r="M39" s="29" cm="1">
        <f t="array" ref="M39">IF($L39="",0,_xlfn.IFERROR(FIND(".",SUBSTITUTE($L39,",",".")),0))</f>
        <v>0</v>
      </c>
      <c r="N39" s="29" cm="1">
        <f t="array" ref="N39">IF($E39="",10^9,$E39)</f>
        <v>1000000000</v>
      </c>
      <c r="O39" t="str" s="30" cm="1">
        <f t="array" ref="O39">IF($E39="","",SUM($E$11:$E39))</f>
      </c>
      <c r="P39" t="str" s="30" cm="1">
        <f t="array" ref="P39">IF($E39="","",($D$6/$D$7+$O39)/COUNT($E$11:$E39))</f>
      </c>
      <c r="Q39" s="29" cm="1">
        <f t="array" ref="Q39">IF($E39="",0,IF(AND($E39&lt;$P39,OR($E40="",$P39&lt;=$E40)),1,0))</f>
        <v>0</v>
      </c>
      <c r="R39" s="27" cm="1">
        <f t="array" ref="R39">IF($V$4=0,"",ROUND($V$4,1)-10+(39-11)*0.1)</f>
        <v>3148</v>
      </c>
      <c r="S39" s="28">
        <v>3000</v>
      </c>
      <c r="T39" t="str" s="30" cm="1">
        <f t="array" ref="T39">IF($E39="","",ROUND($G39/$D$8,0)*$D$8)</f>
      </c>
      <c r="U39" s="14"/>
      <c r="V39" s="8"/>
    </row>
    <row r="40" ht="13.55" customHeight="1">
      <c r="A40" t="str" s="30" cm="1">
        <f t="array" ref="A40">IF($E40="","",COUNT($E$11:$E40))</f>
      </c>
      <c r="B40" s="39"/>
      <c r="C40" s="39"/>
      <c r="D40" s="39"/>
      <c r="E40" t="str" s="30" cm="1">
        <f t="array" ref="E40">IF($D40="","",_xlfn.IFERROR(IF($I40=-1,IF($D40&lt;0.5,$D40*86400,IF($D40&lt;100,$D40*1440,$D40)),IF($I40=2,VALUE(LEFT($D40,$J40-1))*3600+VALUE(MID($D40,$J40+1,$K40-$J40-1))*60,IF($I40=1,VALUE(LEFT($D40,$J40-1))*60,0))+IF($M40=0,VALUE($L40),VALUE(LEFT($L40,$M40-1))+VALUE(MID($L40,$M40+1,10))/10^(LEN($L40)-$M40))),""))</f>
      </c>
      <c r="F40" t="str" s="30" cm="1">
        <f t="array" ref="F40">IF($E40="","",MAX(0,$I$7-$E40))</f>
      </c>
      <c r="G40" t="str" s="30" cm="1">
        <f t="array" ref="G40">IF($E40="","",$F40*$D$7)</f>
      </c>
      <c r="H40" t="str" s="30" cm="1">
        <f t="array" ref="H40">IF($E40="","",$T40+IF(AND($V$6&gt;=$D$8,COUNT($E$11:$E40)=$V$7+1),$D$8,0))</f>
      </c>
      <c r="I40" t="str" s="30" cm="1">
        <f t="array" ref="I40">IF($D40="","",IF(ISTEXT($D40),LEN($D40)-LEN(SUBSTITUTE($D40,":","")),-1))</f>
      </c>
      <c r="J40" s="29" cm="1">
        <f t="array" ref="J40">_xlfn.IFERROR(FIND(":",$D40),0)</f>
        <v>0</v>
      </c>
      <c r="K40" s="29" cm="1">
        <f t="array" ref="K40">_xlfn.IFERROR(FIND(":",$D40,$J40+1),0)</f>
        <v>0</v>
      </c>
      <c r="L40" t="str" s="30" cm="1">
        <f t="array" ref="L40">IF($D40="","",IF($I40=2,MID($D40,$K40+1,10),IF($I40=1,MID($D40,$J40+1,10),IF($I40=0,$D40,""))))</f>
      </c>
      <c r="M40" s="29" cm="1">
        <f t="array" ref="M40">IF($L40="",0,_xlfn.IFERROR(FIND(".",SUBSTITUTE($L40,",",".")),0))</f>
        <v>0</v>
      </c>
      <c r="N40" s="29" cm="1">
        <f t="array" ref="N40">IF($E40="",10^9,$E40)</f>
        <v>1000000000</v>
      </c>
      <c r="O40" t="str" s="30" cm="1">
        <f t="array" ref="O40">IF($E40="","",SUM($E$11:$E40))</f>
      </c>
      <c r="P40" t="str" s="30" cm="1">
        <f t="array" ref="P40">IF($E40="","",($D$6/$D$7+$O40)/COUNT($E$11:$E40))</f>
      </c>
      <c r="Q40" s="29" cm="1">
        <f t="array" ref="Q40">IF($E40="",0,IF(AND($E40&lt;$P40,OR($E41="",$P40&lt;=$E41)),1,0))</f>
        <v>0</v>
      </c>
      <c r="R40" s="27" cm="1">
        <f t="array" ref="R40">IF($V$4=0,"",ROUND($V$4,1)-10+(40-11)*0.1)</f>
        <v>3148.1</v>
      </c>
      <c r="S40" s="28">
        <v>3000</v>
      </c>
      <c r="T40" t="str" s="30" cm="1">
        <f t="array" ref="T40">IF($E40="","",ROUND($G40/$D$8,0)*$D$8)</f>
      </c>
      <c r="U40" s="14"/>
      <c r="V40" s="8"/>
    </row>
    <row r="41" ht="13.55" customHeight="1">
      <c r="A41" t="str" s="30" cm="1">
        <f t="array" ref="A41">IF($E41="","",COUNT($E$11:$E41))</f>
      </c>
      <c r="B41" s="39"/>
      <c r="C41" s="39"/>
      <c r="D41" s="39"/>
      <c r="E41" t="str" s="30" cm="1">
        <f t="array" ref="E41">IF($D41="","",_xlfn.IFERROR(IF($I41=-1,IF($D41&lt;0.5,$D41*86400,IF($D41&lt;100,$D41*1440,$D41)),IF($I41=2,VALUE(LEFT($D41,$J41-1))*3600+VALUE(MID($D41,$J41+1,$K41-$J41-1))*60,IF($I41=1,VALUE(LEFT($D41,$J41-1))*60,0))+IF($M41=0,VALUE($L41),VALUE(LEFT($L41,$M41-1))+VALUE(MID($L41,$M41+1,10))/10^(LEN($L41)-$M41))),""))</f>
      </c>
      <c r="F41" t="str" s="30" cm="1">
        <f t="array" ref="F41">IF($E41="","",MAX(0,$I$7-$E41))</f>
      </c>
      <c r="G41" t="str" s="30" cm="1">
        <f t="array" ref="G41">IF($E41="","",$F41*$D$7)</f>
      </c>
      <c r="H41" t="str" s="30" cm="1">
        <f t="array" ref="H41">IF($E41="","",$T41+IF(AND($V$6&gt;=$D$8,COUNT($E$11:$E41)=$V$7+1),$D$8,0))</f>
      </c>
      <c r="I41" t="str" s="30" cm="1">
        <f t="array" ref="I41">IF($D41="","",IF(ISTEXT($D41),LEN($D41)-LEN(SUBSTITUTE($D41,":","")),-1))</f>
      </c>
      <c r="J41" s="29" cm="1">
        <f t="array" ref="J41">_xlfn.IFERROR(FIND(":",$D41),0)</f>
        <v>0</v>
      </c>
      <c r="K41" s="29" cm="1">
        <f t="array" ref="K41">_xlfn.IFERROR(FIND(":",$D41,$J41+1),0)</f>
        <v>0</v>
      </c>
      <c r="L41" t="str" s="30" cm="1">
        <f t="array" ref="L41">IF($D41="","",IF($I41=2,MID($D41,$K41+1,10),IF($I41=1,MID($D41,$J41+1,10),IF($I41=0,$D41,""))))</f>
      </c>
      <c r="M41" s="29" cm="1">
        <f t="array" ref="M41">IF($L41="",0,_xlfn.IFERROR(FIND(".",SUBSTITUTE($L41,",",".")),0))</f>
        <v>0</v>
      </c>
      <c r="N41" s="29" cm="1">
        <f t="array" ref="N41">IF($E41="",10^9,$E41)</f>
        <v>1000000000</v>
      </c>
      <c r="O41" t="str" s="30" cm="1">
        <f t="array" ref="O41">IF($E41="","",SUM($E$11:$E41))</f>
      </c>
      <c r="P41" t="str" s="30" cm="1">
        <f t="array" ref="P41">IF($E41="","",($D$6/$D$7+$O41)/COUNT($E$11:$E41))</f>
      </c>
      <c r="Q41" s="29" cm="1">
        <f t="array" ref="Q41">IF($E41="",0,IF(AND($E41&lt;$P41,OR($E42="",$P41&lt;=$E42)),1,0))</f>
        <v>0</v>
      </c>
      <c r="R41" s="27" cm="1">
        <f t="array" ref="R41">IF($V$4=0,"",ROUND($V$4,1)-10+(41-11)*0.1)</f>
        <v>3148.2</v>
      </c>
      <c r="S41" s="28">
        <v>3000</v>
      </c>
      <c r="T41" t="str" s="30" cm="1">
        <f t="array" ref="T41">IF($E41="","",ROUND($G41/$D$8,0)*$D$8)</f>
      </c>
      <c r="U41" s="14"/>
      <c r="V41" s="8"/>
    </row>
    <row r="42" ht="13.55" customHeight="1">
      <c r="A42" t="str" s="30" cm="1">
        <f t="array" ref="A42">IF($E42="","",COUNT($E$11:$E42))</f>
      </c>
      <c r="B42" s="39"/>
      <c r="C42" s="39"/>
      <c r="D42" s="39"/>
      <c r="E42" t="str" s="30" cm="1">
        <f t="array" ref="E42">IF($D42="","",_xlfn.IFERROR(IF($I42=-1,IF($D42&lt;0.5,$D42*86400,IF($D42&lt;100,$D42*1440,$D42)),IF($I42=2,VALUE(LEFT($D42,$J42-1))*3600+VALUE(MID($D42,$J42+1,$K42-$J42-1))*60,IF($I42=1,VALUE(LEFT($D42,$J42-1))*60,0))+IF($M42=0,VALUE($L42),VALUE(LEFT($L42,$M42-1))+VALUE(MID($L42,$M42+1,10))/10^(LEN($L42)-$M42))),""))</f>
      </c>
      <c r="F42" t="str" s="30" cm="1">
        <f t="array" ref="F42">IF($E42="","",MAX(0,$I$7-$E42))</f>
      </c>
      <c r="G42" t="str" s="30" cm="1">
        <f t="array" ref="G42">IF($E42="","",$F42*$D$7)</f>
      </c>
      <c r="H42" t="str" s="30" cm="1">
        <f t="array" ref="H42">IF($E42="","",$T42+IF(AND($V$6&gt;=$D$8,COUNT($E$11:$E42)=$V$7+1),$D$8,0))</f>
      </c>
      <c r="I42" t="str" s="30" cm="1">
        <f t="array" ref="I42">IF($D42="","",IF(ISTEXT($D42),LEN($D42)-LEN(SUBSTITUTE($D42,":","")),-1))</f>
      </c>
      <c r="J42" s="29" cm="1">
        <f t="array" ref="J42">_xlfn.IFERROR(FIND(":",$D42),0)</f>
        <v>0</v>
      </c>
      <c r="K42" s="29" cm="1">
        <f t="array" ref="K42">_xlfn.IFERROR(FIND(":",$D42,$J42+1),0)</f>
        <v>0</v>
      </c>
      <c r="L42" t="str" s="30" cm="1">
        <f t="array" ref="L42">IF($D42="","",IF($I42=2,MID($D42,$K42+1,10),IF($I42=1,MID($D42,$J42+1,10),IF($I42=0,$D42,""))))</f>
      </c>
      <c r="M42" s="29" cm="1">
        <f t="array" ref="M42">IF($L42="",0,_xlfn.IFERROR(FIND(".",SUBSTITUTE($L42,",",".")),0))</f>
        <v>0</v>
      </c>
      <c r="N42" s="29" cm="1">
        <f t="array" ref="N42">IF($E42="",10^9,$E42)</f>
        <v>1000000000</v>
      </c>
      <c r="O42" t="str" s="30" cm="1">
        <f t="array" ref="O42">IF($E42="","",SUM($E$11:$E42))</f>
      </c>
      <c r="P42" t="str" s="30" cm="1">
        <f t="array" ref="P42">IF($E42="","",($D$6/$D$7+$O42)/COUNT($E$11:$E42))</f>
      </c>
      <c r="Q42" s="29" cm="1">
        <f t="array" ref="Q42">IF($E42="",0,IF(AND($E42&lt;$P42,OR($E43="",$P42&lt;=$E43)),1,0))</f>
        <v>0</v>
      </c>
      <c r="R42" s="27" cm="1">
        <f t="array" ref="R42">IF($V$4=0,"",ROUND($V$4,1)-10+(42-11)*0.1)</f>
        <v>3148.3</v>
      </c>
      <c r="S42" s="28">
        <v>3000</v>
      </c>
      <c r="T42" t="str" s="30" cm="1">
        <f t="array" ref="T42">IF($E42="","",ROUND($G42/$D$8,0)*$D$8)</f>
      </c>
      <c r="U42" s="14"/>
      <c r="V42" s="8"/>
    </row>
    <row r="43" ht="13.55" customHeight="1">
      <c r="A43" t="str" s="30" cm="1">
        <f t="array" ref="A43">IF($E43="","",COUNT($E$11:$E43))</f>
      </c>
      <c r="B43" s="39"/>
      <c r="C43" s="39"/>
      <c r="D43" s="39"/>
      <c r="E43" t="str" s="30" cm="1">
        <f t="array" ref="E43">IF($D43="","",_xlfn.IFERROR(IF($I43=-1,IF($D43&lt;0.5,$D43*86400,IF($D43&lt;100,$D43*1440,$D43)),IF($I43=2,VALUE(LEFT($D43,$J43-1))*3600+VALUE(MID($D43,$J43+1,$K43-$J43-1))*60,IF($I43=1,VALUE(LEFT($D43,$J43-1))*60,0))+IF($M43=0,VALUE($L43),VALUE(LEFT($L43,$M43-1))+VALUE(MID($L43,$M43+1,10))/10^(LEN($L43)-$M43))),""))</f>
      </c>
      <c r="F43" t="str" s="30" cm="1">
        <f t="array" ref="F43">IF($E43="","",MAX(0,$I$7-$E43))</f>
      </c>
      <c r="G43" t="str" s="30" cm="1">
        <f t="array" ref="G43">IF($E43="","",$F43*$D$7)</f>
      </c>
      <c r="H43" t="str" s="30" cm="1">
        <f t="array" ref="H43">IF($E43="","",$T43+IF(AND($V$6&gt;=$D$8,COUNT($E$11:$E43)=$V$7+1),$D$8,0))</f>
      </c>
      <c r="I43" t="str" s="30" cm="1">
        <f t="array" ref="I43">IF($D43="","",IF(ISTEXT($D43),LEN($D43)-LEN(SUBSTITUTE($D43,":","")),-1))</f>
      </c>
      <c r="J43" s="29" cm="1">
        <f t="array" ref="J43">_xlfn.IFERROR(FIND(":",$D43),0)</f>
        <v>0</v>
      </c>
      <c r="K43" s="29" cm="1">
        <f t="array" ref="K43">_xlfn.IFERROR(FIND(":",$D43,$J43+1),0)</f>
        <v>0</v>
      </c>
      <c r="L43" t="str" s="30" cm="1">
        <f t="array" ref="L43">IF($D43="","",IF($I43=2,MID($D43,$K43+1,10),IF($I43=1,MID($D43,$J43+1,10),IF($I43=0,$D43,""))))</f>
      </c>
      <c r="M43" s="29" cm="1">
        <f t="array" ref="M43">IF($L43="",0,_xlfn.IFERROR(FIND(".",SUBSTITUTE($L43,",",".")),0))</f>
        <v>0</v>
      </c>
      <c r="N43" s="29" cm="1">
        <f t="array" ref="N43">IF($E43="",10^9,$E43)</f>
        <v>1000000000</v>
      </c>
      <c r="O43" t="str" s="30" cm="1">
        <f t="array" ref="O43">IF($E43="","",SUM($E$11:$E43))</f>
      </c>
      <c r="P43" t="str" s="30" cm="1">
        <f t="array" ref="P43">IF($E43="","",($D$6/$D$7+$O43)/COUNT($E$11:$E43))</f>
      </c>
      <c r="Q43" s="29" cm="1">
        <f t="array" ref="Q43">IF($E43="",0,IF(AND($E43&lt;$P43,OR($E44="",$P43&lt;=$E44)),1,0))</f>
        <v>0</v>
      </c>
      <c r="R43" s="27" cm="1">
        <f t="array" ref="R43">IF($V$4=0,"",ROUND($V$4,1)-10+(43-11)*0.1)</f>
        <v>3148.4</v>
      </c>
      <c r="S43" s="28">
        <v>3000</v>
      </c>
      <c r="T43" t="str" s="30" cm="1">
        <f t="array" ref="T43">IF($E43="","",ROUND($G43/$D$8,0)*$D$8)</f>
      </c>
      <c r="U43" s="14"/>
      <c r="V43" s="8"/>
    </row>
    <row r="44" ht="13.55" customHeight="1">
      <c r="A44" t="str" s="30" cm="1">
        <f t="array" ref="A44">IF($E44="","",COUNT($E$11:$E44))</f>
      </c>
      <c r="B44" s="39"/>
      <c r="C44" s="39"/>
      <c r="D44" s="39"/>
      <c r="E44" t="str" s="30" cm="1">
        <f t="array" ref="E44">IF($D44="","",_xlfn.IFERROR(IF($I44=-1,IF($D44&lt;0.5,$D44*86400,IF($D44&lt;100,$D44*1440,$D44)),IF($I44=2,VALUE(LEFT($D44,$J44-1))*3600+VALUE(MID($D44,$J44+1,$K44-$J44-1))*60,IF($I44=1,VALUE(LEFT($D44,$J44-1))*60,0))+IF($M44=0,VALUE($L44),VALUE(LEFT($L44,$M44-1))+VALUE(MID($L44,$M44+1,10))/10^(LEN($L44)-$M44))),""))</f>
      </c>
      <c r="F44" t="str" s="30" cm="1">
        <f t="array" ref="F44">IF($E44="","",MAX(0,$I$7-$E44))</f>
      </c>
      <c r="G44" t="str" s="30" cm="1">
        <f t="array" ref="G44">IF($E44="","",$F44*$D$7)</f>
      </c>
      <c r="H44" t="str" s="30" cm="1">
        <f t="array" ref="H44">IF($E44="","",$T44+IF(AND($V$6&gt;=$D$8,COUNT($E$11:$E44)=$V$7+1),$D$8,0))</f>
      </c>
      <c r="I44" t="str" s="30" cm="1">
        <f t="array" ref="I44">IF($D44="","",IF(ISTEXT($D44),LEN($D44)-LEN(SUBSTITUTE($D44,":","")),-1))</f>
      </c>
      <c r="J44" s="29" cm="1">
        <f t="array" ref="J44">_xlfn.IFERROR(FIND(":",$D44),0)</f>
        <v>0</v>
      </c>
      <c r="K44" s="29" cm="1">
        <f t="array" ref="K44">_xlfn.IFERROR(FIND(":",$D44,$J44+1),0)</f>
        <v>0</v>
      </c>
      <c r="L44" t="str" s="30" cm="1">
        <f t="array" ref="L44">IF($D44="","",IF($I44=2,MID($D44,$K44+1,10),IF($I44=1,MID($D44,$J44+1,10),IF($I44=0,$D44,""))))</f>
      </c>
      <c r="M44" s="29" cm="1">
        <f t="array" ref="M44">IF($L44="",0,_xlfn.IFERROR(FIND(".",SUBSTITUTE($L44,",",".")),0))</f>
        <v>0</v>
      </c>
      <c r="N44" s="29" cm="1">
        <f t="array" ref="N44">IF($E44="",10^9,$E44)</f>
        <v>1000000000</v>
      </c>
      <c r="O44" t="str" s="30" cm="1">
        <f t="array" ref="O44">IF($E44="","",SUM($E$11:$E44))</f>
      </c>
      <c r="P44" t="str" s="30" cm="1">
        <f t="array" ref="P44">IF($E44="","",($D$6/$D$7+$O44)/COUNT($E$11:$E44))</f>
      </c>
      <c r="Q44" s="29" cm="1">
        <f t="array" ref="Q44">IF($E44="",0,IF(AND($E44&lt;$P44,OR($E45="",$P44&lt;=$E45)),1,0))</f>
        <v>0</v>
      </c>
      <c r="R44" s="27" cm="1">
        <f t="array" ref="R44">IF($V$4=0,"",ROUND($V$4,1)-10+(44-11)*0.1)</f>
        <v>3148.5</v>
      </c>
      <c r="S44" s="28">
        <v>3000</v>
      </c>
      <c r="T44" t="str" s="30" cm="1">
        <f t="array" ref="T44">IF($E44="","",ROUND($G44/$D$8,0)*$D$8)</f>
      </c>
      <c r="U44" s="14"/>
      <c r="V44" s="8"/>
    </row>
    <row r="45" ht="13.55" customHeight="1">
      <c r="A45" t="str" s="30" cm="1">
        <f t="array" ref="A45">IF($E45="","",COUNT($E$11:$E45))</f>
      </c>
      <c r="B45" s="39"/>
      <c r="C45" s="39"/>
      <c r="D45" s="39"/>
      <c r="E45" t="str" s="30" cm="1">
        <f t="array" ref="E45">IF($D45="","",_xlfn.IFERROR(IF($I45=-1,IF($D45&lt;0.5,$D45*86400,IF($D45&lt;100,$D45*1440,$D45)),IF($I45=2,VALUE(LEFT($D45,$J45-1))*3600+VALUE(MID($D45,$J45+1,$K45-$J45-1))*60,IF($I45=1,VALUE(LEFT($D45,$J45-1))*60,0))+IF($M45=0,VALUE($L45),VALUE(LEFT($L45,$M45-1))+VALUE(MID($L45,$M45+1,10))/10^(LEN($L45)-$M45))),""))</f>
      </c>
      <c r="F45" t="str" s="30" cm="1">
        <f t="array" ref="F45">IF($E45="","",MAX(0,$I$7-$E45))</f>
      </c>
      <c r="G45" t="str" s="30" cm="1">
        <f t="array" ref="G45">IF($E45="","",$F45*$D$7)</f>
      </c>
      <c r="H45" t="str" s="30" cm="1">
        <f t="array" ref="H45">IF($E45="","",$T45+IF(AND($V$6&gt;=$D$8,COUNT($E$11:$E45)=$V$7+1),$D$8,0))</f>
      </c>
      <c r="I45" t="str" s="30" cm="1">
        <f t="array" ref="I45">IF($D45="","",IF(ISTEXT($D45),LEN($D45)-LEN(SUBSTITUTE($D45,":","")),-1))</f>
      </c>
      <c r="J45" s="29" cm="1">
        <f t="array" ref="J45">_xlfn.IFERROR(FIND(":",$D45),0)</f>
        <v>0</v>
      </c>
      <c r="K45" s="29" cm="1">
        <f t="array" ref="K45">_xlfn.IFERROR(FIND(":",$D45,$J45+1),0)</f>
        <v>0</v>
      </c>
      <c r="L45" t="str" s="30" cm="1">
        <f t="array" ref="L45">IF($D45="","",IF($I45=2,MID($D45,$K45+1,10),IF($I45=1,MID($D45,$J45+1,10),IF($I45=0,$D45,""))))</f>
      </c>
      <c r="M45" s="29" cm="1">
        <f t="array" ref="M45">IF($L45="",0,_xlfn.IFERROR(FIND(".",SUBSTITUTE($L45,",",".")),0))</f>
        <v>0</v>
      </c>
      <c r="N45" s="29" cm="1">
        <f t="array" ref="N45">IF($E45="",10^9,$E45)</f>
        <v>1000000000</v>
      </c>
      <c r="O45" t="str" s="30" cm="1">
        <f t="array" ref="O45">IF($E45="","",SUM($E$11:$E45))</f>
      </c>
      <c r="P45" t="str" s="30" cm="1">
        <f t="array" ref="P45">IF($E45="","",($D$6/$D$7+$O45)/COUNT($E$11:$E45))</f>
      </c>
      <c r="Q45" s="29" cm="1">
        <f t="array" ref="Q45">IF($E45="",0,IF(AND($E45&lt;$P45,OR($E46="",$P45&lt;=$E46)),1,0))</f>
        <v>0</v>
      </c>
      <c r="R45" s="27" cm="1">
        <f t="array" ref="R45">IF($V$4=0,"",ROUND($V$4,1)-10+(45-11)*0.1)</f>
        <v>3148.6</v>
      </c>
      <c r="S45" s="28">
        <v>3000</v>
      </c>
      <c r="T45" t="str" s="30" cm="1">
        <f t="array" ref="T45">IF($E45="","",ROUND($G45/$D$8,0)*$D$8)</f>
      </c>
      <c r="U45" s="14"/>
      <c r="V45" s="8"/>
    </row>
    <row r="46" ht="13.55" customHeight="1">
      <c r="A46" t="str" s="30" cm="1">
        <f t="array" ref="A46">IF($E46="","",COUNT($E$11:$E46))</f>
      </c>
      <c r="B46" s="39"/>
      <c r="C46" s="39"/>
      <c r="D46" s="39"/>
      <c r="E46" t="str" s="30" cm="1">
        <f t="array" ref="E46">IF($D46="","",_xlfn.IFERROR(IF($I46=-1,IF($D46&lt;0.5,$D46*86400,IF($D46&lt;100,$D46*1440,$D46)),IF($I46=2,VALUE(LEFT($D46,$J46-1))*3600+VALUE(MID($D46,$J46+1,$K46-$J46-1))*60,IF($I46=1,VALUE(LEFT($D46,$J46-1))*60,0))+IF($M46=0,VALUE($L46),VALUE(LEFT($L46,$M46-1))+VALUE(MID($L46,$M46+1,10))/10^(LEN($L46)-$M46))),""))</f>
      </c>
      <c r="F46" t="str" s="30" cm="1">
        <f t="array" ref="F46">IF($E46="","",MAX(0,$I$7-$E46))</f>
      </c>
      <c r="G46" t="str" s="30" cm="1">
        <f t="array" ref="G46">IF($E46="","",$F46*$D$7)</f>
      </c>
      <c r="H46" t="str" s="30" cm="1">
        <f t="array" ref="H46">IF($E46="","",$T46+IF(AND($V$6&gt;=$D$8,COUNT($E$11:$E46)=$V$7+1),$D$8,0))</f>
      </c>
      <c r="I46" t="str" s="30" cm="1">
        <f t="array" ref="I46">IF($D46="","",IF(ISTEXT($D46),LEN($D46)-LEN(SUBSTITUTE($D46,":","")),-1))</f>
      </c>
      <c r="J46" s="29" cm="1">
        <f t="array" ref="J46">_xlfn.IFERROR(FIND(":",$D46),0)</f>
        <v>0</v>
      </c>
      <c r="K46" s="29" cm="1">
        <f t="array" ref="K46">_xlfn.IFERROR(FIND(":",$D46,$J46+1),0)</f>
        <v>0</v>
      </c>
      <c r="L46" t="str" s="30" cm="1">
        <f t="array" ref="L46">IF($D46="","",IF($I46=2,MID($D46,$K46+1,10),IF($I46=1,MID($D46,$J46+1,10),IF($I46=0,$D46,""))))</f>
      </c>
      <c r="M46" s="29" cm="1">
        <f t="array" ref="M46">IF($L46="",0,_xlfn.IFERROR(FIND(".",SUBSTITUTE($L46,",",".")),0))</f>
        <v>0</v>
      </c>
      <c r="N46" s="29" cm="1">
        <f t="array" ref="N46">IF($E46="",10^9,$E46)</f>
        <v>1000000000</v>
      </c>
      <c r="O46" t="str" s="30" cm="1">
        <f t="array" ref="O46">IF($E46="","",SUM($E$11:$E46))</f>
      </c>
      <c r="P46" t="str" s="30" cm="1">
        <f t="array" ref="P46">IF($E46="","",($D$6/$D$7+$O46)/COUNT($E$11:$E46))</f>
      </c>
      <c r="Q46" s="29" cm="1">
        <f t="array" ref="Q46">IF($E46="",0,IF(AND($E46&lt;$P46,OR($E47="",$P46&lt;=$E47)),1,0))</f>
        <v>0</v>
      </c>
      <c r="R46" s="27" cm="1">
        <f t="array" ref="R46">IF($V$4=0,"",ROUND($V$4,1)-10+(46-11)*0.1)</f>
        <v>3148.7</v>
      </c>
      <c r="S46" s="28">
        <v>3000</v>
      </c>
      <c r="T46" t="str" s="30" cm="1">
        <f t="array" ref="T46">IF($E46="","",ROUND($G46/$D$8,0)*$D$8)</f>
      </c>
      <c r="U46" s="14"/>
      <c r="V46" s="8"/>
    </row>
    <row r="47" ht="13.55" customHeight="1">
      <c r="A47" t="str" s="30" cm="1">
        <f t="array" ref="A47">IF($E47="","",COUNT($E$11:$E47))</f>
      </c>
      <c r="B47" s="39"/>
      <c r="C47" s="39"/>
      <c r="D47" s="39"/>
      <c r="E47" t="str" s="30" cm="1">
        <f t="array" ref="E47">IF($D47="","",_xlfn.IFERROR(IF($I47=-1,IF($D47&lt;0.5,$D47*86400,IF($D47&lt;100,$D47*1440,$D47)),IF($I47=2,VALUE(LEFT($D47,$J47-1))*3600+VALUE(MID($D47,$J47+1,$K47-$J47-1))*60,IF($I47=1,VALUE(LEFT($D47,$J47-1))*60,0))+IF($M47=0,VALUE($L47),VALUE(LEFT($L47,$M47-1))+VALUE(MID($L47,$M47+1,10))/10^(LEN($L47)-$M47))),""))</f>
      </c>
      <c r="F47" t="str" s="30" cm="1">
        <f t="array" ref="F47">IF($E47="","",MAX(0,$I$7-$E47))</f>
      </c>
      <c r="G47" t="str" s="30" cm="1">
        <f t="array" ref="G47">IF($E47="","",$F47*$D$7)</f>
      </c>
      <c r="H47" t="str" s="30" cm="1">
        <f t="array" ref="H47">IF($E47="","",$T47+IF(AND($V$6&gt;=$D$8,COUNT($E$11:$E47)=$V$7+1),$D$8,0))</f>
      </c>
      <c r="I47" t="str" s="30" cm="1">
        <f t="array" ref="I47">IF($D47="","",IF(ISTEXT($D47),LEN($D47)-LEN(SUBSTITUTE($D47,":","")),-1))</f>
      </c>
      <c r="J47" s="29" cm="1">
        <f t="array" ref="J47">_xlfn.IFERROR(FIND(":",$D47),0)</f>
        <v>0</v>
      </c>
      <c r="K47" s="29" cm="1">
        <f t="array" ref="K47">_xlfn.IFERROR(FIND(":",$D47,$J47+1),0)</f>
        <v>0</v>
      </c>
      <c r="L47" t="str" s="30" cm="1">
        <f t="array" ref="L47">IF($D47="","",IF($I47=2,MID($D47,$K47+1,10),IF($I47=1,MID($D47,$J47+1,10),IF($I47=0,$D47,""))))</f>
      </c>
      <c r="M47" s="29" cm="1">
        <f t="array" ref="M47">IF($L47="",0,_xlfn.IFERROR(FIND(".",SUBSTITUTE($L47,",",".")),0))</f>
        <v>0</v>
      </c>
      <c r="N47" s="29" cm="1">
        <f t="array" ref="N47">IF($E47="",10^9,$E47)</f>
        <v>1000000000</v>
      </c>
      <c r="O47" t="str" s="30" cm="1">
        <f t="array" ref="O47">IF($E47="","",SUM($E$11:$E47))</f>
      </c>
      <c r="P47" t="str" s="30" cm="1">
        <f t="array" ref="P47">IF($E47="","",($D$6/$D$7+$O47)/COUNT($E$11:$E47))</f>
      </c>
      <c r="Q47" s="29" cm="1">
        <f t="array" ref="Q47">IF($E47="",0,IF(AND($E47&lt;$P47,OR($E48="",$P47&lt;=$E48)),1,0))</f>
        <v>0</v>
      </c>
      <c r="R47" s="27" cm="1">
        <f t="array" ref="R47">IF($V$4=0,"",ROUND($V$4,1)-10+(47-11)*0.1)</f>
        <v>3148.8</v>
      </c>
      <c r="S47" s="28">
        <v>3000</v>
      </c>
      <c r="T47" t="str" s="30" cm="1">
        <f t="array" ref="T47">IF($E47="","",ROUND($G47/$D$8,0)*$D$8)</f>
      </c>
      <c r="U47" s="14"/>
      <c r="V47" s="8"/>
    </row>
    <row r="48" ht="13.55" customHeight="1">
      <c r="A48" t="str" s="30" cm="1">
        <f t="array" ref="A48">IF($E48="","",COUNT($E$11:$E48))</f>
      </c>
      <c r="B48" s="39"/>
      <c r="C48" s="39"/>
      <c r="D48" s="39"/>
      <c r="E48" t="str" s="30" cm="1">
        <f t="array" ref="E48">IF($D48="","",_xlfn.IFERROR(IF($I48=-1,IF($D48&lt;0.5,$D48*86400,IF($D48&lt;100,$D48*1440,$D48)),IF($I48=2,VALUE(LEFT($D48,$J48-1))*3600+VALUE(MID($D48,$J48+1,$K48-$J48-1))*60,IF($I48=1,VALUE(LEFT($D48,$J48-1))*60,0))+IF($M48=0,VALUE($L48),VALUE(LEFT($L48,$M48-1))+VALUE(MID($L48,$M48+1,10))/10^(LEN($L48)-$M48))),""))</f>
      </c>
      <c r="F48" t="str" s="30" cm="1">
        <f t="array" ref="F48">IF($E48="","",MAX(0,$I$7-$E48))</f>
      </c>
      <c r="G48" t="str" s="30" cm="1">
        <f t="array" ref="G48">IF($E48="","",$F48*$D$7)</f>
      </c>
      <c r="H48" t="str" s="30" cm="1">
        <f t="array" ref="H48">IF($E48="","",$T48+IF(AND($V$6&gt;=$D$8,COUNT($E$11:$E48)=$V$7+1),$D$8,0))</f>
      </c>
      <c r="I48" t="str" s="30" cm="1">
        <f t="array" ref="I48">IF($D48="","",IF(ISTEXT($D48),LEN($D48)-LEN(SUBSTITUTE($D48,":","")),-1))</f>
      </c>
      <c r="J48" s="29" cm="1">
        <f t="array" ref="J48">_xlfn.IFERROR(FIND(":",$D48),0)</f>
        <v>0</v>
      </c>
      <c r="K48" s="29" cm="1">
        <f t="array" ref="K48">_xlfn.IFERROR(FIND(":",$D48,$J48+1),0)</f>
        <v>0</v>
      </c>
      <c r="L48" t="str" s="30" cm="1">
        <f t="array" ref="L48">IF($D48="","",IF($I48=2,MID($D48,$K48+1,10),IF($I48=1,MID($D48,$J48+1,10),IF($I48=0,$D48,""))))</f>
      </c>
      <c r="M48" s="29" cm="1">
        <f t="array" ref="M48">IF($L48="",0,_xlfn.IFERROR(FIND(".",SUBSTITUTE($L48,",",".")),0))</f>
        <v>0</v>
      </c>
      <c r="N48" s="29" cm="1">
        <f t="array" ref="N48">IF($E48="",10^9,$E48)</f>
        <v>1000000000</v>
      </c>
      <c r="O48" t="str" s="30" cm="1">
        <f t="array" ref="O48">IF($E48="","",SUM($E$11:$E48))</f>
      </c>
      <c r="P48" t="str" s="30" cm="1">
        <f t="array" ref="P48">IF($E48="","",($D$6/$D$7+$O48)/COUNT($E$11:$E48))</f>
      </c>
      <c r="Q48" s="29" cm="1">
        <f t="array" ref="Q48">IF($E48="",0,IF(AND($E48&lt;$P48,OR($E49="",$P48&lt;=$E49)),1,0))</f>
        <v>0</v>
      </c>
      <c r="R48" s="27" cm="1">
        <f t="array" ref="R48">IF($V$4=0,"",ROUND($V$4,1)-10+(48-11)*0.1)</f>
        <v>3148.9</v>
      </c>
      <c r="S48" s="28">
        <v>3000</v>
      </c>
      <c r="T48" t="str" s="30" cm="1">
        <f t="array" ref="T48">IF($E48="","",ROUND($G48/$D$8,0)*$D$8)</f>
      </c>
      <c r="U48" s="14"/>
      <c r="V48" s="8"/>
    </row>
    <row r="49" ht="13.55" customHeight="1">
      <c r="A49" t="str" s="30" cm="1">
        <f t="array" ref="A49">IF($E49="","",COUNT($E$11:$E49))</f>
      </c>
      <c r="B49" s="39"/>
      <c r="C49" s="39"/>
      <c r="D49" s="39"/>
      <c r="E49" t="str" s="30" cm="1">
        <f t="array" ref="E49">IF($D49="","",_xlfn.IFERROR(IF($I49=-1,IF($D49&lt;0.5,$D49*86400,IF($D49&lt;100,$D49*1440,$D49)),IF($I49=2,VALUE(LEFT($D49,$J49-1))*3600+VALUE(MID($D49,$J49+1,$K49-$J49-1))*60,IF($I49=1,VALUE(LEFT($D49,$J49-1))*60,0))+IF($M49=0,VALUE($L49),VALUE(LEFT($L49,$M49-1))+VALUE(MID($L49,$M49+1,10))/10^(LEN($L49)-$M49))),""))</f>
      </c>
      <c r="F49" t="str" s="30" cm="1">
        <f t="array" ref="F49">IF($E49="","",MAX(0,$I$7-$E49))</f>
      </c>
      <c r="G49" t="str" s="30" cm="1">
        <f t="array" ref="G49">IF($E49="","",$F49*$D$7)</f>
      </c>
      <c r="H49" t="str" s="30" cm="1">
        <f t="array" ref="H49">IF($E49="","",$T49+IF(AND($V$6&gt;=$D$8,COUNT($E$11:$E49)=$V$7+1),$D$8,0))</f>
      </c>
      <c r="I49" t="str" s="30" cm="1">
        <f t="array" ref="I49">IF($D49="","",IF(ISTEXT($D49),LEN($D49)-LEN(SUBSTITUTE($D49,":","")),-1))</f>
      </c>
      <c r="J49" s="29" cm="1">
        <f t="array" ref="J49">_xlfn.IFERROR(FIND(":",$D49),0)</f>
        <v>0</v>
      </c>
      <c r="K49" s="29" cm="1">
        <f t="array" ref="K49">_xlfn.IFERROR(FIND(":",$D49,$J49+1),0)</f>
        <v>0</v>
      </c>
      <c r="L49" t="str" s="30" cm="1">
        <f t="array" ref="L49">IF($D49="","",IF($I49=2,MID($D49,$K49+1,10),IF($I49=1,MID($D49,$J49+1,10),IF($I49=0,$D49,""))))</f>
      </c>
      <c r="M49" s="29" cm="1">
        <f t="array" ref="M49">IF($L49="",0,_xlfn.IFERROR(FIND(".",SUBSTITUTE($L49,",",".")),0))</f>
        <v>0</v>
      </c>
      <c r="N49" s="29" cm="1">
        <f t="array" ref="N49">IF($E49="",10^9,$E49)</f>
        <v>1000000000</v>
      </c>
      <c r="O49" t="str" s="30" cm="1">
        <f t="array" ref="O49">IF($E49="","",SUM($E$11:$E49))</f>
      </c>
      <c r="P49" t="str" s="30" cm="1">
        <f t="array" ref="P49">IF($E49="","",($D$6/$D$7+$O49)/COUNT($E$11:$E49))</f>
      </c>
      <c r="Q49" s="29" cm="1">
        <f t="array" ref="Q49">IF($E49="",0,IF(AND($E49&lt;$P49,OR($E50="",$P49&lt;=$E50)),1,0))</f>
        <v>0</v>
      </c>
      <c r="R49" s="27" cm="1">
        <f t="array" ref="R49">IF($V$4=0,"",ROUND($V$4,1)-10+(49-11)*0.1)</f>
        <v>3149</v>
      </c>
      <c r="S49" s="28">
        <v>3000</v>
      </c>
      <c r="T49" t="str" s="30" cm="1">
        <f t="array" ref="T49">IF($E49="","",ROUND($G49/$D$8,0)*$D$8)</f>
      </c>
      <c r="U49" s="14"/>
      <c r="V49" s="8"/>
    </row>
    <row r="50" ht="13.55" customHeight="1">
      <c r="A50" t="str" s="30" cm="1">
        <f t="array" ref="A50">IF($E50="","",COUNT($E$11:$E50))</f>
      </c>
      <c r="B50" s="39"/>
      <c r="C50" s="39"/>
      <c r="D50" s="39"/>
      <c r="E50" t="str" s="30" cm="1">
        <f t="array" ref="E50">IF($D50="","",_xlfn.IFERROR(IF($I50=-1,IF($D50&lt;0.5,$D50*86400,IF($D50&lt;100,$D50*1440,$D50)),IF($I50=2,VALUE(LEFT($D50,$J50-1))*3600+VALUE(MID($D50,$J50+1,$K50-$J50-1))*60,IF($I50=1,VALUE(LEFT($D50,$J50-1))*60,0))+IF($M50=0,VALUE($L50),VALUE(LEFT($L50,$M50-1))+VALUE(MID($L50,$M50+1,10))/10^(LEN($L50)-$M50))),""))</f>
      </c>
      <c r="F50" t="str" s="30" cm="1">
        <f t="array" ref="F50">IF($E50="","",MAX(0,$I$7-$E50))</f>
      </c>
      <c r="G50" t="str" s="30" cm="1">
        <f t="array" ref="G50">IF($E50="","",$F50*$D$7)</f>
      </c>
      <c r="H50" t="str" s="30" cm="1">
        <f t="array" ref="H50">IF($E50="","",$T50+IF(AND($V$6&gt;=$D$8,COUNT($E$11:$E50)=$V$7+1),$D$8,0))</f>
      </c>
      <c r="I50" t="str" s="30" cm="1">
        <f t="array" ref="I50">IF($D50="","",IF(ISTEXT($D50),LEN($D50)-LEN(SUBSTITUTE($D50,":","")),-1))</f>
      </c>
      <c r="J50" s="29" cm="1">
        <f t="array" ref="J50">_xlfn.IFERROR(FIND(":",$D50),0)</f>
        <v>0</v>
      </c>
      <c r="K50" s="29" cm="1">
        <f t="array" ref="K50">_xlfn.IFERROR(FIND(":",$D50,$J50+1),0)</f>
        <v>0</v>
      </c>
      <c r="L50" t="str" s="30" cm="1">
        <f t="array" ref="L50">IF($D50="","",IF($I50=2,MID($D50,$K50+1,10),IF($I50=1,MID($D50,$J50+1,10),IF($I50=0,$D50,""))))</f>
      </c>
      <c r="M50" s="29" cm="1">
        <f t="array" ref="M50">IF($L50="",0,_xlfn.IFERROR(FIND(".",SUBSTITUTE($L50,",",".")),0))</f>
        <v>0</v>
      </c>
      <c r="N50" s="29" cm="1">
        <f t="array" ref="N50">IF($E50="",10^9,$E50)</f>
        <v>1000000000</v>
      </c>
      <c r="O50" t="str" s="30" cm="1">
        <f t="array" ref="O50">IF($E50="","",SUM($E$11:$E50))</f>
      </c>
      <c r="P50" t="str" s="30" cm="1">
        <f t="array" ref="P50">IF($E50="","",($D$6/$D$7+$O50)/COUNT($E$11:$E50))</f>
      </c>
      <c r="Q50" s="29" cm="1">
        <f t="array" ref="Q50">IF($E50="",0,IF(AND($E50&lt;$P50,OR($E51="",$P50&lt;=$E51)),1,0))</f>
        <v>0</v>
      </c>
      <c r="R50" s="27" cm="1">
        <f t="array" ref="R50">IF($V$4=0,"",ROUND($V$4,1)-10+(50-11)*0.1)</f>
        <v>3149.1</v>
      </c>
      <c r="S50" s="28">
        <v>3000</v>
      </c>
      <c r="T50" t="str" s="30" cm="1">
        <f t="array" ref="T50">IF($E50="","",ROUND($G50/$D$8,0)*$D$8)</f>
      </c>
      <c r="U50" s="14"/>
      <c r="V50" s="8"/>
    </row>
    <row r="51" ht="13.55" customHeight="1">
      <c r="A51" t="str" s="30" cm="1">
        <f t="array" ref="A51">IF($E51="","",COUNT($E$11:$E51))</f>
      </c>
      <c r="B51" s="39"/>
      <c r="C51" s="39"/>
      <c r="D51" s="39"/>
      <c r="E51" t="str" s="30" cm="1">
        <f t="array" ref="E51">IF($D51="","",_xlfn.IFERROR(IF($I51=-1,IF($D51&lt;0.5,$D51*86400,IF($D51&lt;100,$D51*1440,$D51)),IF($I51=2,VALUE(LEFT($D51,$J51-1))*3600+VALUE(MID($D51,$J51+1,$K51-$J51-1))*60,IF($I51=1,VALUE(LEFT($D51,$J51-1))*60,0))+IF($M51=0,VALUE($L51),VALUE(LEFT($L51,$M51-1))+VALUE(MID($L51,$M51+1,10))/10^(LEN($L51)-$M51))),""))</f>
      </c>
      <c r="F51" t="str" s="30" cm="1">
        <f t="array" ref="F51">IF($E51="","",MAX(0,$I$7-$E51))</f>
      </c>
      <c r="G51" t="str" s="30" cm="1">
        <f t="array" ref="G51">IF($E51="","",$F51*$D$7)</f>
      </c>
      <c r="H51" t="str" s="30" cm="1">
        <f t="array" ref="H51">IF($E51="","",$T51+IF(AND($V$6&gt;=$D$8,COUNT($E$11:$E51)=$V$7+1),$D$8,0))</f>
      </c>
      <c r="I51" t="str" s="30" cm="1">
        <f t="array" ref="I51">IF($D51="","",IF(ISTEXT($D51),LEN($D51)-LEN(SUBSTITUTE($D51,":","")),-1))</f>
      </c>
      <c r="J51" s="29" cm="1">
        <f t="array" ref="J51">_xlfn.IFERROR(FIND(":",$D51),0)</f>
        <v>0</v>
      </c>
      <c r="K51" s="29" cm="1">
        <f t="array" ref="K51">_xlfn.IFERROR(FIND(":",$D51,$J51+1),0)</f>
        <v>0</v>
      </c>
      <c r="L51" t="str" s="30" cm="1">
        <f t="array" ref="L51">IF($D51="","",IF($I51=2,MID($D51,$K51+1,10),IF($I51=1,MID($D51,$J51+1,10),IF($I51=0,$D51,""))))</f>
      </c>
      <c r="M51" s="29" cm="1">
        <f t="array" ref="M51">IF($L51="",0,_xlfn.IFERROR(FIND(".",SUBSTITUTE($L51,",",".")),0))</f>
        <v>0</v>
      </c>
      <c r="N51" s="29" cm="1">
        <f t="array" ref="N51">IF($E51="",10^9,$E51)</f>
        <v>1000000000</v>
      </c>
      <c r="O51" t="str" s="30" cm="1">
        <f t="array" ref="O51">IF($E51="","",SUM($E$11:$E51))</f>
      </c>
      <c r="P51" t="str" s="30" cm="1">
        <f t="array" ref="P51">IF($E51="","",($D$6/$D$7+$O51)/COUNT($E$11:$E51))</f>
      </c>
      <c r="Q51" s="29" cm="1">
        <f t="array" ref="Q51">IF($E51="",0,IF(AND($E51&lt;$P51,OR($E52="",$P51&lt;=$E52)),1,0))</f>
        <v>0</v>
      </c>
      <c r="R51" s="27" cm="1">
        <f t="array" ref="R51">IF($V$4=0,"",ROUND($V$4,1)-10+(51-11)*0.1)</f>
        <v>3149.2</v>
      </c>
      <c r="S51" s="28">
        <v>3000</v>
      </c>
      <c r="T51" t="str" s="30" cm="1">
        <f t="array" ref="T51">IF($E51="","",ROUND($G51/$D$8,0)*$D$8)</f>
      </c>
      <c r="U51" s="14"/>
      <c r="V51" s="8"/>
    </row>
    <row r="52" ht="13.55" customHeight="1">
      <c r="A52" t="str" s="30" cm="1">
        <f t="array" ref="A52">IF($E52="","",COUNT($E$11:$E52))</f>
      </c>
      <c r="B52" s="39"/>
      <c r="C52" s="39"/>
      <c r="D52" s="39"/>
      <c r="E52" t="str" s="30" cm="1">
        <f t="array" ref="E52">IF($D52="","",_xlfn.IFERROR(IF($I52=-1,IF($D52&lt;0.5,$D52*86400,IF($D52&lt;100,$D52*1440,$D52)),IF($I52=2,VALUE(LEFT($D52,$J52-1))*3600+VALUE(MID($D52,$J52+1,$K52-$J52-1))*60,IF($I52=1,VALUE(LEFT($D52,$J52-1))*60,0))+IF($M52=0,VALUE($L52),VALUE(LEFT($L52,$M52-1))+VALUE(MID($L52,$M52+1,10))/10^(LEN($L52)-$M52))),""))</f>
      </c>
      <c r="F52" t="str" s="30" cm="1">
        <f t="array" ref="F52">IF($E52="","",MAX(0,$I$7-$E52))</f>
      </c>
      <c r="G52" t="str" s="30" cm="1">
        <f t="array" ref="G52">IF($E52="","",$F52*$D$7)</f>
      </c>
      <c r="H52" t="str" s="30" cm="1">
        <f t="array" ref="H52">IF($E52="","",$T52+IF(AND($V$6&gt;=$D$8,COUNT($E$11:$E52)=$V$7+1),$D$8,0))</f>
      </c>
      <c r="I52" t="str" s="30" cm="1">
        <f t="array" ref="I52">IF($D52="","",IF(ISTEXT($D52),LEN($D52)-LEN(SUBSTITUTE($D52,":","")),-1))</f>
      </c>
      <c r="J52" s="29" cm="1">
        <f t="array" ref="J52">_xlfn.IFERROR(FIND(":",$D52),0)</f>
        <v>0</v>
      </c>
      <c r="K52" s="29" cm="1">
        <f t="array" ref="K52">_xlfn.IFERROR(FIND(":",$D52,$J52+1),0)</f>
        <v>0</v>
      </c>
      <c r="L52" t="str" s="30" cm="1">
        <f t="array" ref="L52">IF($D52="","",IF($I52=2,MID($D52,$K52+1,10),IF($I52=1,MID($D52,$J52+1,10),IF($I52=0,$D52,""))))</f>
      </c>
      <c r="M52" s="29" cm="1">
        <f t="array" ref="M52">IF($L52="",0,_xlfn.IFERROR(FIND(".",SUBSTITUTE($L52,",",".")),0))</f>
        <v>0</v>
      </c>
      <c r="N52" s="29" cm="1">
        <f t="array" ref="N52">IF($E52="",10^9,$E52)</f>
        <v>1000000000</v>
      </c>
      <c r="O52" t="str" s="30" cm="1">
        <f t="array" ref="O52">IF($E52="","",SUM($E$11:$E52))</f>
      </c>
      <c r="P52" t="str" s="30" cm="1">
        <f t="array" ref="P52">IF($E52="","",($D$6/$D$7+$O52)/COUNT($E$11:$E52))</f>
      </c>
      <c r="Q52" s="29" cm="1">
        <f t="array" ref="Q52">IF($E52="",0,IF(AND($E52&lt;$P52,OR($E53="",$P52&lt;=$E53)),1,0))</f>
        <v>0</v>
      </c>
      <c r="R52" s="27" cm="1">
        <f t="array" ref="R52">IF($V$4=0,"",ROUND($V$4,1)-10+(52-11)*0.1)</f>
        <v>3149.3</v>
      </c>
      <c r="S52" s="28">
        <v>3000</v>
      </c>
      <c r="T52" t="str" s="30" cm="1">
        <f t="array" ref="T52">IF($E52="","",ROUND($G52/$D$8,0)*$D$8)</f>
      </c>
      <c r="U52" s="14"/>
      <c r="V52" s="8"/>
    </row>
    <row r="53" ht="13.55" customHeight="1">
      <c r="A53" t="str" s="30" cm="1">
        <f t="array" ref="A53">IF($E53="","",COUNT($E$11:$E53))</f>
      </c>
      <c r="B53" s="39"/>
      <c r="C53" s="39"/>
      <c r="D53" s="39"/>
      <c r="E53" t="str" s="30" cm="1">
        <f t="array" ref="E53">IF($D53="","",_xlfn.IFERROR(IF($I53=-1,IF($D53&lt;0.5,$D53*86400,IF($D53&lt;100,$D53*1440,$D53)),IF($I53=2,VALUE(LEFT($D53,$J53-1))*3600+VALUE(MID($D53,$J53+1,$K53-$J53-1))*60,IF($I53=1,VALUE(LEFT($D53,$J53-1))*60,0))+IF($M53=0,VALUE($L53),VALUE(LEFT($L53,$M53-1))+VALUE(MID($L53,$M53+1,10))/10^(LEN($L53)-$M53))),""))</f>
      </c>
      <c r="F53" t="str" s="30" cm="1">
        <f t="array" ref="F53">IF($E53="","",MAX(0,$I$7-$E53))</f>
      </c>
      <c r="G53" t="str" s="30" cm="1">
        <f t="array" ref="G53">IF($E53="","",$F53*$D$7)</f>
      </c>
      <c r="H53" t="str" s="30" cm="1">
        <f t="array" ref="H53">IF($E53="","",$T53+IF(AND($V$6&gt;=$D$8,COUNT($E$11:$E53)=$V$7+1),$D$8,0))</f>
      </c>
      <c r="I53" t="str" s="30" cm="1">
        <f t="array" ref="I53">IF($D53="","",IF(ISTEXT($D53),LEN($D53)-LEN(SUBSTITUTE($D53,":","")),-1))</f>
      </c>
      <c r="J53" s="29" cm="1">
        <f t="array" ref="J53">_xlfn.IFERROR(FIND(":",$D53),0)</f>
        <v>0</v>
      </c>
      <c r="K53" s="29" cm="1">
        <f t="array" ref="K53">_xlfn.IFERROR(FIND(":",$D53,$J53+1),0)</f>
        <v>0</v>
      </c>
      <c r="L53" t="str" s="30" cm="1">
        <f t="array" ref="L53">IF($D53="","",IF($I53=2,MID($D53,$K53+1,10),IF($I53=1,MID($D53,$J53+1,10),IF($I53=0,$D53,""))))</f>
      </c>
      <c r="M53" s="29" cm="1">
        <f t="array" ref="M53">IF($L53="",0,_xlfn.IFERROR(FIND(".",SUBSTITUTE($L53,",",".")),0))</f>
        <v>0</v>
      </c>
      <c r="N53" s="29" cm="1">
        <f t="array" ref="N53">IF($E53="",10^9,$E53)</f>
        <v>1000000000</v>
      </c>
      <c r="O53" t="str" s="30" cm="1">
        <f t="array" ref="O53">IF($E53="","",SUM($E$11:$E53))</f>
      </c>
      <c r="P53" t="str" s="30" cm="1">
        <f t="array" ref="P53">IF($E53="","",($D$6/$D$7+$O53)/COUNT($E$11:$E53))</f>
      </c>
      <c r="Q53" s="29" cm="1">
        <f t="array" ref="Q53">IF($E53="",0,IF(AND($E53&lt;$P53,OR($E54="",$P53&lt;=$E54)),1,0))</f>
        <v>0</v>
      </c>
      <c r="R53" s="27" cm="1">
        <f t="array" ref="R53">IF($V$4=0,"",ROUND($V$4,1)-10+(53-11)*0.1)</f>
        <v>3149.4</v>
      </c>
      <c r="S53" s="28">
        <v>3000</v>
      </c>
      <c r="T53" t="str" s="30" cm="1">
        <f t="array" ref="T53">IF($E53="","",ROUND($G53/$D$8,0)*$D$8)</f>
      </c>
      <c r="U53" s="14"/>
      <c r="V53" s="8"/>
    </row>
    <row r="54" ht="13.55" customHeight="1">
      <c r="A54" t="str" s="30" cm="1">
        <f t="array" ref="A54">IF($E54="","",COUNT($E$11:$E54))</f>
      </c>
      <c r="B54" s="39"/>
      <c r="C54" s="39"/>
      <c r="D54" s="39"/>
      <c r="E54" t="str" s="30" cm="1">
        <f t="array" ref="E54">IF($D54="","",_xlfn.IFERROR(IF($I54=-1,IF($D54&lt;0.5,$D54*86400,IF($D54&lt;100,$D54*1440,$D54)),IF($I54=2,VALUE(LEFT($D54,$J54-1))*3600+VALUE(MID($D54,$J54+1,$K54-$J54-1))*60,IF($I54=1,VALUE(LEFT($D54,$J54-1))*60,0))+IF($M54=0,VALUE($L54),VALUE(LEFT($L54,$M54-1))+VALUE(MID($L54,$M54+1,10))/10^(LEN($L54)-$M54))),""))</f>
      </c>
      <c r="F54" t="str" s="30" cm="1">
        <f t="array" ref="F54">IF($E54="","",MAX(0,$I$7-$E54))</f>
      </c>
      <c r="G54" t="str" s="30" cm="1">
        <f t="array" ref="G54">IF($E54="","",$F54*$D$7)</f>
      </c>
      <c r="H54" t="str" s="30" cm="1">
        <f t="array" ref="H54">IF($E54="","",$T54+IF(AND($V$6&gt;=$D$8,COUNT($E$11:$E54)=$V$7+1),$D$8,0))</f>
      </c>
      <c r="I54" t="str" s="30" cm="1">
        <f t="array" ref="I54">IF($D54="","",IF(ISTEXT($D54),LEN($D54)-LEN(SUBSTITUTE($D54,":","")),-1))</f>
      </c>
      <c r="J54" s="29" cm="1">
        <f t="array" ref="J54">_xlfn.IFERROR(FIND(":",$D54),0)</f>
        <v>0</v>
      </c>
      <c r="K54" s="29" cm="1">
        <f t="array" ref="K54">_xlfn.IFERROR(FIND(":",$D54,$J54+1),0)</f>
        <v>0</v>
      </c>
      <c r="L54" t="str" s="30" cm="1">
        <f t="array" ref="L54">IF($D54="","",IF($I54=2,MID($D54,$K54+1,10),IF($I54=1,MID($D54,$J54+1,10),IF($I54=0,$D54,""))))</f>
      </c>
      <c r="M54" s="29" cm="1">
        <f t="array" ref="M54">IF($L54="",0,_xlfn.IFERROR(FIND(".",SUBSTITUTE($L54,",",".")),0))</f>
        <v>0</v>
      </c>
      <c r="N54" s="29" cm="1">
        <f t="array" ref="N54">IF($E54="",10^9,$E54)</f>
        <v>1000000000</v>
      </c>
      <c r="O54" t="str" s="30" cm="1">
        <f t="array" ref="O54">IF($E54="","",SUM($E$11:$E54))</f>
      </c>
      <c r="P54" t="str" s="30" cm="1">
        <f t="array" ref="P54">IF($E54="","",($D$6/$D$7+$O54)/COUNT($E$11:$E54))</f>
      </c>
      <c r="Q54" s="29" cm="1">
        <f t="array" ref="Q54">IF($E54="",0,IF(AND($E54&lt;$P54,OR($E55="",$P54&lt;=$E55)),1,0))</f>
        <v>0</v>
      </c>
      <c r="R54" s="27" cm="1">
        <f t="array" ref="R54">IF($V$4=0,"",ROUND($V$4,1)-10+(54-11)*0.1)</f>
        <v>3149.5</v>
      </c>
      <c r="S54" s="28">
        <v>3000</v>
      </c>
      <c r="T54" t="str" s="30" cm="1">
        <f t="array" ref="T54">IF($E54="","",ROUND($G54/$D$8,0)*$D$8)</f>
      </c>
      <c r="U54" s="14"/>
      <c r="V54" s="8"/>
    </row>
    <row r="55" ht="13.55" customHeight="1">
      <c r="A55" t="str" s="30" cm="1">
        <f t="array" ref="A55">IF($E55="","",COUNT($E$11:$E55))</f>
      </c>
      <c r="B55" s="39"/>
      <c r="C55" s="39"/>
      <c r="D55" s="39"/>
      <c r="E55" t="str" s="30" cm="1">
        <f t="array" ref="E55">IF($D55="","",_xlfn.IFERROR(IF($I55=-1,IF($D55&lt;0.5,$D55*86400,IF($D55&lt;100,$D55*1440,$D55)),IF($I55=2,VALUE(LEFT($D55,$J55-1))*3600+VALUE(MID($D55,$J55+1,$K55-$J55-1))*60,IF($I55=1,VALUE(LEFT($D55,$J55-1))*60,0))+IF($M55=0,VALUE($L55),VALUE(LEFT($L55,$M55-1))+VALUE(MID($L55,$M55+1,10))/10^(LEN($L55)-$M55))),""))</f>
      </c>
      <c r="F55" t="str" s="30" cm="1">
        <f t="array" ref="F55">IF($E55="","",MAX(0,$I$7-$E55))</f>
      </c>
      <c r="G55" t="str" s="30" cm="1">
        <f t="array" ref="G55">IF($E55="","",$F55*$D$7)</f>
      </c>
      <c r="H55" t="str" s="30" cm="1">
        <f t="array" ref="H55">IF($E55="","",$T55+IF(AND($V$6&gt;=$D$8,COUNT($E$11:$E55)=$V$7+1),$D$8,0))</f>
      </c>
      <c r="I55" t="str" s="30" cm="1">
        <f t="array" ref="I55">IF($D55="","",IF(ISTEXT($D55),LEN($D55)-LEN(SUBSTITUTE($D55,":","")),-1))</f>
      </c>
      <c r="J55" s="29" cm="1">
        <f t="array" ref="J55">_xlfn.IFERROR(FIND(":",$D55),0)</f>
        <v>0</v>
      </c>
      <c r="K55" s="29" cm="1">
        <f t="array" ref="K55">_xlfn.IFERROR(FIND(":",$D55,$J55+1),0)</f>
        <v>0</v>
      </c>
      <c r="L55" t="str" s="30" cm="1">
        <f t="array" ref="L55">IF($D55="","",IF($I55=2,MID($D55,$K55+1,10),IF($I55=1,MID($D55,$J55+1,10),IF($I55=0,$D55,""))))</f>
      </c>
      <c r="M55" s="29" cm="1">
        <f t="array" ref="M55">IF($L55="",0,_xlfn.IFERROR(FIND(".",SUBSTITUTE($L55,",",".")),0))</f>
        <v>0</v>
      </c>
      <c r="N55" s="29" cm="1">
        <f t="array" ref="N55">IF($E55="",10^9,$E55)</f>
        <v>1000000000</v>
      </c>
      <c r="O55" t="str" s="30" cm="1">
        <f t="array" ref="O55">IF($E55="","",SUM($E$11:$E55))</f>
      </c>
      <c r="P55" t="str" s="30" cm="1">
        <f t="array" ref="P55">IF($E55="","",($D$6/$D$7+$O55)/COUNT($E$11:$E55))</f>
      </c>
      <c r="Q55" s="29" cm="1">
        <f t="array" ref="Q55">IF($E55="",0,IF(AND($E55&lt;$P55,OR($E56="",$P55&lt;=$E56)),1,0))</f>
        <v>0</v>
      </c>
      <c r="R55" s="27" cm="1">
        <f t="array" ref="R55">IF($V$4=0,"",ROUND($V$4,1)-10+(55-11)*0.1)</f>
        <v>3149.6</v>
      </c>
      <c r="S55" s="28">
        <v>3000</v>
      </c>
      <c r="T55" t="str" s="30" cm="1">
        <f t="array" ref="T55">IF($E55="","",ROUND($G55/$D$8,0)*$D$8)</f>
      </c>
      <c r="U55" s="14"/>
      <c r="V55" s="8"/>
    </row>
    <row r="56" ht="13.55" customHeight="1">
      <c r="A56" t="str" s="30" cm="1">
        <f t="array" ref="A56">IF($E56="","",COUNT($E$11:$E56))</f>
      </c>
      <c r="B56" s="39"/>
      <c r="C56" s="39"/>
      <c r="D56" s="39"/>
      <c r="E56" t="str" s="30" cm="1">
        <f t="array" ref="E56">IF($D56="","",_xlfn.IFERROR(IF($I56=-1,IF($D56&lt;0.5,$D56*86400,IF($D56&lt;100,$D56*1440,$D56)),IF($I56=2,VALUE(LEFT($D56,$J56-1))*3600+VALUE(MID($D56,$J56+1,$K56-$J56-1))*60,IF($I56=1,VALUE(LEFT($D56,$J56-1))*60,0))+IF($M56=0,VALUE($L56),VALUE(LEFT($L56,$M56-1))+VALUE(MID($L56,$M56+1,10))/10^(LEN($L56)-$M56))),""))</f>
      </c>
      <c r="F56" t="str" s="30" cm="1">
        <f t="array" ref="F56">IF($E56="","",MAX(0,$I$7-$E56))</f>
      </c>
      <c r="G56" t="str" s="30" cm="1">
        <f t="array" ref="G56">IF($E56="","",$F56*$D$7)</f>
      </c>
      <c r="H56" t="str" s="30" cm="1">
        <f t="array" ref="H56">IF($E56="","",$T56+IF(AND($V$6&gt;=$D$8,COUNT($E$11:$E56)=$V$7+1),$D$8,0))</f>
      </c>
      <c r="I56" t="str" s="30" cm="1">
        <f t="array" ref="I56">IF($D56="","",IF(ISTEXT($D56),LEN($D56)-LEN(SUBSTITUTE($D56,":","")),-1))</f>
      </c>
      <c r="J56" s="29" cm="1">
        <f t="array" ref="J56">_xlfn.IFERROR(FIND(":",$D56),0)</f>
        <v>0</v>
      </c>
      <c r="K56" s="29" cm="1">
        <f t="array" ref="K56">_xlfn.IFERROR(FIND(":",$D56,$J56+1),0)</f>
        <v>0</v>
      </c>
      <c r="L56" t="str" s="30" cm="1">
        <f t="array" ref="L56">IF($D56="","",IF($I56=2,MID($D56,$K56+1,10),IF($I56=1,MID($D56,$J56+1,10),IF($I56=0,$D56,""))))</f>
      </c>
      <c r="M56" s="29" cm="1">
        <f t="array" ref="M56">IF($L56="",0,_xlfn.IFERROR(FIND(".",SUBSTITUTE($L56,",",".")),0))</f>
        <v>0</v>
      </c>
      <c r="N56" s="29" cm="1">
        <f t="array" ref="N56">IF($E56="",10^9,$E56)</f>
        <v>1000000000</v>
      </c>
      <c r="O56" t="str" s="30" cm="1">
        <f t="array" ref="O56">IF($E56="","",SUM($E$11:$E56))</f>
      </c>
      <c r="P56" t="str" s="30" cm="1">
        <f t="array" ref="P56">IF($E56="","",($D$6/$D$7+$O56)/COUNT($E$11:$E56))</f>
      </c>
      <c r="Q56" s="29" cm="1">
        <f t="array" ref="Q56">IF($E56="",0,IF(AND($E56&lt;$P56,OR($E57="",$P56&lt;=$E57)),1,0))</f>
        <v>0</v>
      </c>
      <c r="R56" s="27" cm="1">
        <f t="array" ref="R56">IF($V$4=0,"",ROUND($V$4,1)-10+(56-11)*0.1)</f>
        <v>3149.7</v>
      </c>
      <c r="S56" s="28">
        <v>3000</v>
      </c>
      <c r="T56" t="str" s="30" cm="1">
        <f t="array" ref="T56">IF($E56="","",ROUND($G56/$D$8,0)*$D$8)</f>
      </c>
      <c r="U56" s="14"/>
      <c r="V56" s="8"/>
    </row>
    <row r="57" ht="13.55" customHeight="1">
      <c r="A57" t="str" s="30" cm="1">
        <f t="array" ref="A57">IF($E57="","",COUNT($E$11:$E57))</f>
      </c>
      <c r="B57" s="39"/>
      <c r="C57" s="39"/>
      <c r="D57" s="39"/>
      <c r="E57" t="str" s="30" cm="1">
        <f t="array" ref="E57">IF($D57="","",_xlfn.IFERROR(IF($I57=-1,IF($D57&lt;0.5,$D57*86400,IF($D57&lt;100,$D57*1440,$D57)),IF($I57=2,VALUE(LEFT($D57,$J57-1))*3600+VALUE(MID($D57,$J57+1,$K57-$J57-1))*60,IF($I57=1,VALUE(LEFT($D57,$J57-1))*60,0))+IF($M57=0,VALUE($L57),VALUE(LEFT($L57,$M57-1))+VALUE(MID($L57,$M57+1,10))/10^(LEN($L57)-$M57))),""))</f>
      </c>
      <c r="F57" t="str" s="30" cm="1">
        <f t="array" ref="F57">IF($E57="","",MAX(0,$I$7-$E57))</f>
      </c>
      <c r="G57" t="str" s="30" cm="1">
        <f t="array" ref="G57">IF($E57="","",$F57*$D$7)</f>
      </c>
      <c r="H57" t="str" s="30" cm="1">
        <f t="array" ref="H57">IF($E57="","",$T57+IF(AND($V$6&gt;=$D$8,COUNT($E$11:$E57)=$V$7+1),$D$8,0))</f>
      </c>
      <c r="I57" t="str" s="30" cm="1">
        <f t="array" ref="I57">IF($D57="","",IF(ISTEXT($D57),LEN($D57)-LEN(SUBSTITUTE($D57,":","")),-1))</f>
      </c>
      <c r="J57" s="29" cm="1">
        <f t="array" ref="J57">_xlfn.IFERROR(FIND(":",$D57),0)</f>
        <v>0</v>
      </c>
      <c r="K57" s="29" cm="1">
        <f t="array" ref="K57">_xlfn.IFERROR(FIND(":",$D57,$J57+1),0)</f>
        <v>0</v>
      </c>
      <c r="L57" t="str" s="30" cm="1">
        <f t="array" ref="L57">IF($D57="","",IF($I57=2,MID($D57,$K57+1,10),IF($I57=1,MID($D57,$J57+1,10),IF($I57=0,$D57,""))))</f>
      </c>
      <c r="M57" s="29" cm="1">
        <f t="array" ref="M57">IF($L57="",0,_xlfn.IFERROR(FIND(".",SUBSTITUTE($L57,",",".")),0))</f>
        <v>0</v>
      </c>
      <c r="N57" s="29" cm="1">
        <f t="array" ref="N57">IF($E57="",10^9,$E57)</f>
        <v>1000000000</v>
      </c>
      <c r="O57" t="str" s="30" cm="1">
        <f t="array" ref="O57">IF($E57="","",SUM($E$11:$E57))</f>
      </c>
      <c r="P57" t="str" s="30" cm="1">
        <f t="array" ref="P57">IF($E57="","",($D$6/$D$7+$O57)/COUNT($E$11:$E57))</f>
      </c>
      <c r="Q57" s="29" cm="1">
        <f t="array" ref="Q57">IF($E57="",0,IF(AND($E57&lt;$P57,OR($E58="",$P57&lt;=$E58)),1,0))</f>
        <v>0</v>
      </c>
      <c r="R57" s="27" cm="1">
        <f t="array" ref="R57">IF($V$4=0,"",ROUND($V$4,1)-10+(57-11)*0.1)</f>
        <v>3149.8</v>
      </c>
      <c r="S57" s="28">
        <v>3000</v>
      </c>
      <c r="T57" t="str" s="30" cm="1">
        <f t="array" ref="T57">IF($E57="","",ROUND($G57/$D$8,0)*$D$8)</f>
      </c>
      <c r="U57" s="14"/>
      <c r="V57" s="8"/>
    </row>
    <row r="58" ht="13.55" customHeight="1">
      <c r="A58" t="str" s="30" cm="1">
        <f t="array" ref="A58">IF($E58="","",COUNT($E$11:$E58))</f>
      </c>
      <c r="B58" s="39"/>
      <c r="C58" s="39"/>
      <c r="D58" s="39"/>
      <c r="E58" t="str" s="30" cm="1">
        <f t="array" ref="E58">IF($D58="","",_xlfn.IFERROR(IF($I58=-1,IF($D58&lt;0.5,$D58*86400,IF($D58&lt;100,$D58*1440,$D58)),IF($I58=2,VALUE(LEFT($D58,$J58-1))*3600+VALUE(MID($D58,$J58+1,$K58-$J58-1))*60,IF($I58=1,VALUE(LEFT($D58,$J58-1))*60,0))+IF($M58=0,VALUE($L58),VALUE(LEFT($L58,$M58-1))+VALUE(MID($L58,$M58+1,10))/10^(LEN($L58)-$M58))),""))</f>
      </c>
      <c r="F58" t="str" s="30" cm="1">
        <f t="array" ref="F58">IF($E58="","",MAX(0,$I$7-$E58))</f>
      </c>
      <c r="G58" t="str" s="30" cm="1">
        <f t="array" ref="G58">IF($E58="","",$F58*$D$7)</f>
      </c>
      <c r="H58" t="str" s="30" cm="1">
        <f t="array" ref="H58">IF($E58="","",$T58+IF(AND($V$6&gt;=$D$8,COUNT($E$11:$E58)=$V$7+1),$D$8,0))</f>
      </c>
      <c r="I58" t="str" s="30" cm="1">
        <f t="array" ref="I58">IF($D58="","",IF(ISTEXT($D58),LEN($D58)-LEN(SUBSTITUTE($D58,":","")),-1))</f>
      </c>
      <c r="J58" s="29" cm="1">
        <f t="array" ref="J58">_xlfn.IFERROR(FIND(":",$D58),0)</f>
        <v>0</v>
      </c>
      <c r="K58" s="29" cm="1">
        <f t="array" ref="K58">_xlfn.IFERROR(FIND(":",$D58,$J58+1),0)</f>
        <v>0</v>
      </c>
      <c r="L58" t="str" s="30" cm="1">
        <f t="array" ref="L58">IF($D58="","",IF($I58=2,MID($D58,$K58+1,10),IF($I58=1,MID($D58,$J58+1,10),IF($I58=0,$D58,""))))</f>
      </c>
      <c r="M58" s="29" cm="1">
        <f t="array" ref="M58">IF($L58="",0,_xlfn.IFERROR(FIND(".",SUBSTITUTE($L58,",",".")),0))</f>
        <v>0</v>
      </c>
      <c r="N58" s="29" cm="1">
        <f t="array" ref="N58">IF($E58="",10^9,$E58)</f>
        <v>1000000000</v>
      </c>
      <c r="O58" t="str" s="30" cm="1">
        <f t="array" ref="O58">IF($E58="","",SUM($E$11:$E58))</f>
      </c>
      <c r="P58" t="str" s="30" cm="1">
        <f t="array" ref="P58">IF($E58="","",($D$6/$D$7+$O58)/COUNT($E$11:$E58))</f>
      </c>
      <c r="Q58" s="29" cm="1">
        <f t="array" ref="Q58">IF($E58="",0,IF(AND($E58&lt;$P58,OR($E59="",$P58&lt;=$E59)),1,0))</f>
        <v>0</v>
      </c>
      <c r="R58" s="27" cm="1">
        <f t="array" ref="R58">IF($V$4=0,"",ROUND($V$4,1)-10+(58-11)*0.1)</f>
        <v>3149.9</v>
      </c>
      <c r="S58" s="28">
        <v>3000</v>
      </c>
      <c r="T58" t="str" s="30" cm="1">
        <f t="array" ref="T58">IF($E58="","",ROUND($G58/$D$8,0)*$D$8)</f>
      </c>
      <c r="U58" s="14"/>
      <c r="V58" s="8"/>
    </row>
    <row r="59" ht="13.55" customHeight="1">
      <c r="A59" t="str" s="30" cm="1">
        <f t="array" ref="A59">IF($E59="","",COUNT($E$11:$E59))</f>
      </c>
      <c r="B59" s="39"/>
      <c r="C59" s="39"/>
      <c r="D59" s="39"/>
      <c r="E59" t="str" s="30" cm="1">
        <f t="array" ref="E59">IF($D59="","",_xlfn.IFERROR(IF($I59=-1,IF($D59&lt;0.5,$D59*86400,IF($D59&lt;100,$D59*1440,$D59)),IF($I59=2,VALUE(LEFT($D59,$J59-1))*3600+VALUE(MID($D59,$J59+1,$K59-$J59-1))*60,IF($I59=1,VALUE(LEFT($D59,$J59-1))*60,0))+IF($M59=0,VALUE($L59),VALUE(LEFT($L59,$M59-1))+VALUE(MID($L59,$M59+1,10))/10^(LEN($L59)-$M59))),""))</f>
      </c>
      <c r="F59" t="str" s="30" cm="1">
        <f t="array" ref="F59">IF($E59="","",MAX(0,$I$7-$E59))</f>
      </c>
      <c r="G59" t="str" s="30" cm="1">
        <f t="array" ref="G59">IF($E59="","",$F59*$D$7)</f>
      </c>
      <c r="H59" t="str" s="30" cm="1">
        <f t="array" ref="H59">IF($E59="","",$T59+IF(AND($V$6&gt;=$D$8,COUNT($E$11:$E59)=$V$7+1),$D$8,0))</f>
      </c>
      <c r="I59" t="str" s="30" cm="1">
        <f t="array" ref="I59">IF($D59="","",IF(ISTEXT($D59),LEN($D59)-LEN(SUBSTITUTE($D59,":","")),-1))</f>
      </c>
      <c r="J59" s="29" cm="1">
        <f t="array" ref="J59">_xlfn.IFERROR(FIND(":",$D59),0)</f>
        <v>0</v>
      </c>
      <c r="K59" s="29" cm="1">
        <f t="array" ref="K59">_xlfn.IFERROR(FIND(":",$D59,$J59+1),0)</f>
        <v>0</v>
      </c>
      <c r="L59" t="str" s="30" cm="1">
        <f t="array" ref="L59">IF($D59="","",IF($I59=2,MID($D59,$K59+1,10),IF($I59=1,MID($D59,$J59+1,10),IF($I59=0,$D59,""))))</f>
      </c>
      <c r="M59" s="29" cm="1">
        <f t="array" ref="M59">IF($L59="",0,_xlfn.IFERROR(FIND(".",SUBSTITUTE($L59,",",".")),0))</f>
        <v>0</v>
      </c>
      <c r="N59" s="29" cm="1">
        <f t="array" ref="N59">IF($E59="",10^9,$E59)</f>
        <v>1000000000</v>
      </c>
      <c r="O59" t="str" s="30" cm="1">
        <f t="array" ref="O59">IF($E59="","",SUM($E$11:$E59))</f>
      </c>
      <c r="P59" t="str" s="30" cm="1">
        <f t="array" ref="P59">IF($E59="","",($D$6/$D$7+$O59)/COUNT($E$11:$E59))</f>
      </c>
      <c r="Q59" s="29" cm="1">
        <f t="array" ref="Q59">IF($E59="",0,IF(AND($E59&lt;$P59,OR($E60="",$P59&lt;=$E60)),1,0))</f>
        <v>0</v>
      </c>
      <c r="R59" s="27" cm="1">
        <f t="array" ref="R59">IF($V$4=0,"",ROUND($V$4,1)-10+(59-11)*0.1)</f>
        <v>3150</v>
      </c>
      <c r="S59" s="28">
        <v>3000</v>
      </c>
      <c r="T59" t="str" s="30" cm="1">
        <f t="array" ref="T59">IF($E59="","",ROUND($G59/$D$8,0)*$D$8)</f>
      </c>
      <c r="U59" s="14"/>
      <c r="V59" s="8"/>
    </row>
    <row r="60" ht="13.55" customHeight="1">
      <c r="A60" t="str" s="30" cm="1">
        <f t="array" ref="A60">IF($E60="","",COUNT($E$11:$E60))</f>
      </c>
      <c r="B60" s="39"/>
      <c r="C60" s="39"/>
      <c r="D60" s="39"/>
      <c r="E60" t="str" s="30" cm="1">
        <f t="array" ref="E60">IF($D60="","",_xlfn.IFERROR(IF($I60=-1,IF($D60&lt;0.5,$D60*86400,IF($D60&lt;100,$D60*1440,$D60)),IF($I60=2,VALUE(LEFT($D60,$J60-1))*3600+VALUE(MID($D60,$J60+1,$K60-$J60-1))*60,IF($I60=1,VALUE(LEFT($D60,$J60-1))*60,0))+IF($M60=0,VALUE($L60),VALUE(LEFT($L60,$M60-1))+VALUE(MID($L60,$M60+1,10))/10^(LEN($L60)-$M60))),""))</f>
      </c>
      <c r="F60" t="str" s="30" cm="1">
        <f t="array" ref="F60">IF($E60="","",MAX(0,$I$7-$E60))</f>
      </c>
      <c r="G60" t="str" s="30" cm="1">
        <f t="array" ref="G60">IF($E60="","",$F60*$D$7)</f>
      </c>
      <c r="H60" t="str" s="30" cm="1">
        <f t="array" ref="H60">IF($E60="","",$T60+IF(AND($V$6&gt;=$D$8,COUNT($E$11:$E60)=$V$7+1),$D$8,0))</f>
      </c>
      <c r="I60" t="str" s="30" cm="1">
        <f t="array" ref="I60">IF($D60="","",IF(ISTEXT($D60),LEN($D60)-LEN(SUBSTITUTE($D60,":","")),-1))</f>
      </c>
      <c r="J60" s="29" cm="1">
        <f t="array" ref="J60">_xlfn.IFERROR(FIND(":",$D60),0)</f>
        <v>0</v>
      </c>
      <c r="K60" s="29" cm="1">
        <f t="array" ref="K60">_xlfn.IFERROR(FIND(":",$D60,$J60+1),0)</f>
        <v>0</v>
      </c>
      <c r="L60" t="str" s="30" cm="1">
        <f t="array" ref="L60">IF($D60="","",IF($I60=2,MID($D60,$K60+1,10),IF($I60=1,MID($D60,$J60+1,10),IF($I60=0,$D60,""))))</f>
      </c>
      <c r="M60" s="29" cm="1">
        <f t="array" ref="M60">IF($L60="",0,_xlfn.IFERROR(FIND(".",SUBSTITUTE($L60,",",".")),0))</f>
        <v>0</v>
      </c>
      <c r="N60" s="29" cm="1">
        <f t="array" ref="N60">IF($E60="",10^9,$E60)</f>
        <v>1000000000</v>
      </c>
      <c r="O60" t="str" s="30" cm="1">
        <f t="array" ref="O60">IF($E60="","",SUM($E$11:$E60))</f>
      </c>
      <c r="P60" t="str" s="30" cm="1">
        <f t="array" ref="P60">IF($E60="","",($D$6/$D$7+$O60)/COUNT($E$11:$E60))</f>
      </c>
      <c r="Q60" s="29" cm="1">
        <f t="array" ref="Q60">IF($E60="",0,IF(AND($E60&lt;$P60,OR($E61="",$P60&lt;=$E61)),1,0))</f>
        <v>0</v>
      </c>
      <c r="R60" s="27" cm="1">
        <f t="array" ref="R60">IF($V$4=0,"",ROUND($V$4,1)-10+(60-11)*0.1)</f>
        <v>3150.1</v>
      </c>
      <c r="S60" s="28">
        <v>3000</v>
      </c>
      <c r="T60" t="str" s="30" cm="1">
        <f t="array" ref="T60">IF($E60="","",ROUND($G60/$D$8,0)*$D$8)</f>
      </c>
      <c r="U60" s="14"/>
      <c r="V60" s="8"/>
    </row>
    <row r="61" ht="13.55" customHeight="1">
      <c r="A61" t="str" s="30" cm="1">
        <f t="array" ref="A61">IF($E61="","",COUNT($E$11:$E61))</f>
      </c>
      <c r="B61" s="39"/>
      <c r="C61" s="39"/>
      <c r="D61" s="39"/>
      <c r="E61" t="str" s="30" cm="1">
        <f t="array" ref="E61">IF($D61="","",_xlfn.IFERROR(IF($I61=-1,IF($D61&lt;0.5,$D61*86400,IF($D61&lt;100,$D61*1440,$D61)),IF($I61=2,VALUE(LEFT($D61,$J61-1))*3600+VALUE(MID($D61,$J61+1,$K61-$J61-1))*60,IF($I61=1,VALUE(LEFT($D61,$J61-1))*60,0))+IF($M61=0,VALUE($L61),VALUE(LEFT($L61,$M61-1))+VALUE(MID($L61,$M61+1,10))/10^(LEN($L61)-$M61))),""))</f>
      </c>
      <c r="F61" t="str" s="30" cm="1">
        <f t="array" ref="F61">IF($E61="","",MAX(0,$I$7-$E61))</f>
      </c>
      <c r="G61" t="str" s="30" cm="1">
        <f t="array" ref="G61">IF($E61="","",$F61*$D$7)</f>
      </c>
      <c r="H61" t="str" s="30" cm="1">
        <f t="array" ref="H61">IF($E61="","",$T61+IF(AND($V$6&gt;=$D$8,COUNT($E$11:$E61)=$V$7+1),$D$8,0))</f>
      </c>
      <c r="I61" t="str" s="30" cm="1">
        <f t="array" ref="I61">IF($D61="","",IF(ISTEXT($D61),LEN($D61)-LEN(SUBSTITUTE($D61,":","")),-1))</f>
      </c>
      <c r="J61" s="29" cm="1">
        <f t="array" ref="J61">_xlfn.IFERROR(FIND(":",$D61),0)</f>
        <v>0</v>
      </c>
      <c r="K61" s="29" cm="1">
        <f t="array" ref="K61">_xlfn.IFERROR(FIND(":",$D61,$J61+1),0)</f>
        <v>0</v>
      </c>
      <c r="L61" t="str" s="30" cm="1">
        <f t="array" ref="L61">IF($D61="","",IF($I61=2,MID($D61,$K61+1,10),IF($I61=1,MID($D61,$J61+1,10),IF($I61=0,$D61,""))))</f>
      </c>
      <c r="M61" s="29" cm="1">
        <f t="array" ref="M61">IF($L61="",0,_xlfn.IFERROR(FIND(".",SUBSTITUTE($L61,",",".")),0))</f>
        <v>0</v>
      </c>
      <c r="N61" s="29" cm="1">
        <f t="array" ref="N61">IF($E61="",10^9,$E61)</f>
        <v>1000000000</v>
      </c>
      <c r="O61" t="str" s="30" cm="1">
        <f t="array" ref="O61">IF($E61="","",SUM($E$11:$E61))</f>
      </c>
      <c r="P61" t="str" s="30" cm="1">
        <f t="array" ref="P61">IF($E61="","",($D$6/$D$7+$O61)/COUNT($E$11:$E61))</f>
      </c>
      <c r="Q61" s="29" cm="1">
        <f t="array" ref="Q61">IF($E61="",0,IF(AND($E61&lt;$P61,OR($E62="",$P61&lt;=$E62)),1,0))</f>
        <v>0</v>
      </c>
      <c r="R61" s="27" cm="1">
        <f t="array" ref="R61">IF($V$4=0,"",ROUND($V$4,1)-10+(61-11)*0.1)</f>
        <v>3150.2</v>
      </c>
      <c r="S61" s="28">
        <v>4000</v>
      </c>
      <c r="T61" t="str" s="30" cm="1">
        <f t="array" ref="T61">IF($E61="","",ROUND($G61/$D$8,0)*$D$8)</f>
      </c>
      <c r="U61" s="14"/>
      <c r="V61" s="8"/>
    </row>
    <row r="62" ht="13.55" customHeight="1">
      <c r="A62" t="str" s="30" cm="1">
        <f t="array" ref="A62">IF($E62="","",COUNT($E$11:$E62))</f>
      </c>
      <c r="B62" s="39"/>
      <c r="C62" s="39"/>
      <c r="D62" s="39"/>
      <c r="E62" t="str" s="30" cm="1">
        <f t="array" ref="E62">IF($D62="","",_xlfn.IFERROR(IF($I62=-1,IF($D62&lt;0.5,$D62*86400,IF($D62&lt;100,$D62*1440,$D62)),IF($I62=2,VALUE(LEFT($D62,$J62-1))*3600+VALUE(MID($D62,$J62+1,$K62-$J62-1))*60,IF($I62=1,VALUE(LEFT($D62,$J62-1))*60,0))+IF($M62=0,VALUE($L62),VALUE(LEFT($L62,$M62-1))+VALUE(MID($L62,$M62+1,10))/10^(LEN($L62)-$M62))),""))</f>
      </c>
      <c r="F62" t="str" s="30" cm="1">
        <f t="array" ref="F62">IF($E62="","",MAX(0,$I$7-$E62))</f>
      </c>
      <c r="G62" t="str" s="30" cm="1">
        <f t="array" ref="G62">IF($E62="","",$F62*$D$7)</f>
      </c>
      <c r="H62" t="str" s="30" cm="1">
        <f t="array" ref="H62">IF($E62="","",$T62+IF(AND($V$6&gt;=$D$8,COUNT($E$11:$E62)=$V$7+1),$D$8,0))</f>
      </c>
      <c r="I62" t="str" s="30" cm="1">
        <f t="array" ref="I62">IF($D62="","",IF(ISTEXT($D62),LEN($D62)-LEN(SUBSTITUTE($D62,":","")),-1))</f>
      </c>
      <c r="J62" s="29" cm="1">
        <f t="array" ref="J62">_xlfn.IFERROR(FIND(":",$D62),0)</f>
        <v>0</v>
      </c>
      <c r="K62" s="29" cm="1">
        <f t="array" ref="K62">_xlfn.IFERROR(FIND(":",$D62,$J62+1),0)</f>
        <v>0</v>
      </c>
      <c r="L62" t="str" s="30" cm="1">
        <f t="array" ref="L62">IF($D62="","",IF($I62=2,MID($D62,$K62+1,10),IF($I62=1,MID($D62,$J62+1,10),IF($I62=0,$D62,""))))</f>
      </c>
      <c r="M62" s="29" cm="1">
        <f t="array" ref="M62">IF($L62="",0,_xlfn.IFERROR(FIND(".",SUBSTITUTE($L62,",",".")),0))</f>
        <v>0</v>
      </c>
      <c r="N62" s="29" cm="1">
        <f t="array" ref="N62">IF($E62="",10^9,$E62)</f>
        <v>1000000000</v>
      </c>
      <c r="O62" t="str" s="30" cm="1">
        <f t="array" ref="O62">IF($E62="","",SUM($E$11:$E62))</f>
      </c>
      <c r="P62" t="str" s="30" cm="1">
        <f t="array" ref="P62">IF($E62="","",($D$6/$D$7+$O62)/COUNT($E$11:$E62))</f>
      </c>
      <c r="Q62" s="29" cm="1">
        <f t="array" ref="Q62">IF($E62="",0,IF(AND($E62&lt;$P62,OR($E63="",$P62&lt;=$E63)),1,0))</f>
        <v>0</v>
      </c>
      <c r="R62" s="27" cm="1">
        <f t="array" ref="R62">IF($V$4=0,"",ROUND($V$4,1)-10+(62-11)*0.1)</f>
        <v>3150.3</v>
      </c>
      <c r="S62" s="28">
        <v>4000</v>
      </c>
      <c r="T62" t="str" s="30" cm="1">
        <f t="array" ref="T62">IF($E62="","",ROUND($G62/$D$8,0)*$D$8)</f>
      </c>
      <c r="U62" s="14"/>
      <c r="V62" s="8"/>
    </row>
    <row r="63" ht="13.55" customHeight="1">
      <c r="A63" t="str" s="30" cm="1">
        <f t="array" ref="A63">IF($E63="","",COUNT($E$11:$E63))</f>
      </c>
      <c r="B63" s="39"/>
      <c r="C63" s="39"/>
      <c r="D63" s="39"/>
      <c r="E63" t="str" s="30" cm="1">
        <f t="array" ref="E63">IF($D63="","",_xlfn.IFERROR(IF($I63=-1,IF($D63&lt;0.5,$D63*86400,IF($D63&lt;100,$D63*1440,$D63)),IF($I63=2,VALUE(LEFT($D63,$J63-1))*3600+VALUE(MID($D63,$J63+1,$K63-$J63-1))*60,IF($I63=1,VALUE(LEFT($D63,$J63-1))*60,0))+IF($M63=0,VALUE($L63),VALUE(LEFT($L63,$M63-1))+VALUE(MID($L63,$M63+1,10))/10^(LEN($L63)-$M63))),""))</f>
      </c>
      <c r="F63" t="str" s="30" cm="1">
        <f t="array" ref="F63">IF($E63="","",MAX(0,$I$7-$E63))</f>
      </c>
      <c r="G63" t="str" s="30" cm="1">
        <f t="array" ref="G63">IF($E63="","",$F63*$D$7)</f>
      </c>
      <c r="H63" t="str" s="30" cm="1">
        <f t="array" ref="H63">IF($E63="","",$T63+IF(AND($V$6&gt;=$D$8,COUNT($E$11:$E63)=$V$7+1),$D$8,0))</f>
      </c>
      <c r="I63" t="str" s="30" cm="1">
        <f t="array" ref="I63">IF($D63="","",IF(ISTEXT($D63),LEN($D63)-LEN(SUBSTITUTE($D63,":","")),-1))</f>
      </c>
      <c r="J63" s="29" cm="1">
        <f t="array" ref="J63">_xlfn.IFERROR(FIND(":",$D63),0)</f>
        <v>0</v>
      </c>
      <c r="K63" s="29" cm="1">
        <f t="array" ref="K63">_xlfn.IFERROR(FIND(":",$D63,$J63+1),0)</f>
        <v>0</v>
      </c>
      <c r="L63" t="str" s="30" cm="1">
        <f t="array" ref="L63">IF($D63="","",IF($I63=2,MID($D63,$K63+1,10),IF($I63=1,MID($D63,$J63+1,10),IF($I63=0,$D63,""))))</f>
      </c>
      <c r="M63" s="29" cm="1">
        <f t="array" ref="M63">IF($L63="",0,_xlfn.IFERROR(FIND(".",SUBSTITUTE($L63,",",".")),0))</f>
        <v>0</v>
      </c>
      <c r="N63" s="29" cm="1">
        <f t="array" ref="N63">IF($E63="",10^9,$E63)</f>
        <v>1000000000</v>
      </c>
      <c r="O63" t="str" s="30" cm="1">
        <f t="array" ref="O63">IF($E63="","",SUM($E$11:$E63))</f>
      </c>
      <c r="P63" t="str" s="30" cm="1">
        <f t="array" ref="P63">IF($E63="","",($D$6/$D$7+$O63)/COUNT($E$11:$E63))</f>
      </c>
      <c r="Q63" s="29" cm="1">
        <f t="array" ref="Q63">IF($E63="",0,IF(AND($E63&lt;$P63,OR($E64="",$P63&lt;=$E64)),1,0))</f>
        <v>0</v>
      </c>
      <c r="R63" s="27" cm="1">
        <f t="array" ref="R63">IF($V$4=0,"",ROUND($V$4,1)-10+(63-11)*0.1)</f>
        <v>3150.4</v>
      </c>
      <c r="S63" s="28">
        <v>4000</v>
      </c>
      <c r="T63" t="str" s="30" cm="1">
        <f t="array" ref="T63">IF($E63="","",ROUND($G63/$D$8,0)*$D$8)</f>
      </c>
      <c r="U63" s="14"/>
      <c r="V63" s="8"/>
    </row>
    <row r="64" ht="13.55" customHeight="1">
      <c r="A64" t="str" s="30" cm="1">
        <f t="array" ref="A64">IF($E64="","",COUNT($E$11:$E64))</f>
      </c>
      <c r="B64" s="39"/>
      <c r="C64" s="39"/>
      <c r="D64" s="39"/>
      <c r="E64" t="str" s="30" cm="1">
        <f t="array" ref="E64">IF($D64="","",_xlfn.IFERROR(IF($I64=-1,IF($D64&lt;0.5,$D64*86400,IF($D64&lt;100,$D64*1440,$D64)),IF($I64=2,VALUE(LEFT($D64,$J64-1))*3600+VALUE(MID($D64,$J64+1,$K64-$J64-1))*60,IF($I64=1,VALUE(LEFT($D64,$J64-1))*60,0))+IF($M64=0,VALUE($L64),VALUE(LEFT($L64,$M64-1))+VALUE(MID($L64,$M64+1,10))/10^(LEN($L64)-$M64))),""))</f>
      </c>
      <c r="F64" t="str" s="30" cm="1">
        <f t="array" ref="F64">IF($E64="","",MAX(0,$I$7-$E64))</f>
      </c>
      <c r="G64" t="str" s="30" cm="1">
        <f t="array" ref="G64">IF($E64="","",$F64*$D$7)</f>
      </c>
      <c r="H64" t="str" s="30" cm="1">
        <f t="array" ref="H64">IF($E64="","",$T64+IF(AND($V$6&gt;=$D$8,COUNT($E$11:$E64)=$V$7+1),$D$8,0))</f>
      </c>
      <c r="I64" t="str" s="30" cm="1">
        <f t="array" ref="I64">IF($D64="","",IF(ISTEXT($D64),LEN($D64)-LEN(SUBSTITUTE($D64,":","")),-1))</f>
      </c>
      <c r="J64" s="29" cm="1">
        <f t="array" ref="J64">_xlfn.IFERROR(FIND(":",$D64),0)</f>
        <v>0</v>
      </c>
      <c r="K64" s="29" cm="1">
        <f t="array" ref="K64">_xlfn.IFERROR(FIND(":",$D64,$J64+1),0)</f>
        <v>0</v>
      </c>
      <c r="L64" t="str" s="30" cm="1">
        <f t="array" ref="L64">IF($D64="","",IF($I64=2,MID($D64,$K64+1,10),IF($I64=1,MID($D64,$J64+1,10),IF($I64=0,$D64,""))))</f>
      </c>
      <c r="M64" s="29" cm="1">
        <f t="array" ref="M64">IF($L64="",0,_xlfn.IFERROR(FIND(".",SUBSTITUTE($L64,",",".")),0))</f>
        <v>0</v>
      </c>
      <c r="N64" s="29" cm="1">
        <f t="array" ref="N64">IF($E64="",10^9,$E64)</f>
        <v>1000000000</v>
      </c>
      <c r="O64" t="str" s="30" cm="1">
        <f t="array" ref="O64">IF($E64="","",SUM($E$11:$E64))</f>
      </c>
      <c r="P64" t="str" s="30" cm="1">
        <f t="array" ref="P64">IF($E64="","",($D$6/$D$7+$O64)/COUNT($E$11:$E64))</f>
      </c>
      <c r="Q64" s="29" cm="1">
        <f t="array" ref="Q64">IF($E64="",0,IF(AND($E64&lt;$P64,OR($E65="",$P64&lt;=$E65)),1,0))</f>
        <v>0</v>
      </c>
      <c r="R64" s="27" cm="1">
        <f t="array" ref="R64">IF($V$4=0,"",ROUND($V$4,1)-10+(64-11)*0.1)</f>
        <v>3150.5</v>
      </c>
      <c r="S64" s="28">
        <v>4000</v>
      </c>
      <c r="T64" t="str" s="30" cm="1">
        <f t="array" ref="T64">IF($E64="","",ROUND($G64/$D$8,0)*$D$8)</f>
      </c>
      <c r="U64" s="14"/>
      <c r="V64" s="8"/>
    </row>
    <row r="65" ht="13.55" customHeight="1">
      <c r="A65" t="str" s="30" cm="1">
        <f t="array" ref="A65">IF($E65="","",COUNT($E$11:$E65))</f>
      </c>
      <c r="B65" s="39"/>
      <c r="C65" s="39"/>
      <c r="D65" s="39"/>
      <c r="E65" t="str" s="30" cm="1">
        <f t="array" ref="E65">IF($D65="","",_xlfn.IFERROR(IF($I65=-1,IF($D65&lt;0.5,$D65*86400,IF($D65&lt;100,$D65*1440,$D65)),IF($I65=2,VALUE(LEFT($D65,$J65-1))*3600+VALUE(MID($D65,$J65+1,$K65-$J65-1))*60,IF($I65=1,VALUE(LEFT($D65,$J65-1))*60,0))+IF($M65=0,VALUE($L65),VALUE(LEFT($L65,$M65-1))+VALUE(MID($L65,$M65+1,10))/10^(LEN($L65)-$M65))),""))</f>
      </c>
      <c r="F65" t="str" s="30" cm="1">
        <f t="array" ref="F65">IF($E65="","",MAX(0,$I$7-$E65))</f>
      </c>
      <c r="G65" t="str" s="30" cm="1">
        <f t="array" ref="G65">IF($E65="","",$F65*$D$7)</f>
      </c>
      <c r="H65" t="str" s="30" cm="1">
        <f t="array" ref="H65">IF($E65="","",$T65+IF(AND($V$6&gt;=$D$8,COUNT($E$11:$E65)=$V$7+1),$D$8,0))</f>
      </c>
      <c r="I65" t="str" s="30" cm="1">
        <f t="array" ref="I65">IF($D65="","",IF(ISTEXT($D65),LEN($D65)-LEN(SUBSTITUTE($D65,":","")),-1))</f>
      </c>
      <c r="J65" s="29" cm="1">
        <f t="array" ref="J65">_xlfn.IFERROR(FIND(":",$D65),0)</f>
        <v>0</v>
      </c>
      <c r="K65" s="29" cm="1">
        <f t="array" ref="K65">_xlfn.IFERROR(FIND(":",$D65,$J65+1),0)</f>
        <v>0</v>
      </c>
      <c r="L65" t="str" s="30" cm="1">
        <f t="array" ref="L65">IF($D65="","",IF($I65=2,MID($D65,$K65+1,10),IF($I65=1,MID($D65,$J65+1,10),IF($I65=0,$D65,""))))</f>
      </c>
      <c r="M65" s="29" cm="1">
        <f t="array" ref="M65">IF($L65="",0,_xlfn.IFERROR(FIND(".",SUBSTITUTE($L65,",",".")),0))</f>
        <v>0</v>
      </c>
      <c r="N65" s="29" cm="1">
        <f t="array" ref="N65">IF($E65="",10^9,$E65)</f>
        <v>1000000000</v>
      </c>
      <c r="O65" t="str" s="30" cm="1">
        <f t="array" ref="O65">IF($E65="","",SUM($E$11:$E65))</f>
      </c>
      <c r="P65" t="str" s="30" cm="1">
        <f t="array" ref="P65">IF($E65="","",($D$6/$D$7+$O65)/COUNT($E$11:$E65))</f>
      </c>
      <c r="Q65" s="29" cm="1">
        <f t="array" ref="Q65">IF($E65="",0,IF(AND($E65&lt;$P65,OR($E66="",$P65&lt;=$E66)),1,0))</f>
        <v>0</v>
      </c>
      <c r="R65" s="27" cm="1">
        <f t="array" ref="R65">IF($V$4=0,"",ROUND($V$4,1)-10+(65-11)*0.1)</f>
        <v>3150.6</v>
      </c>
      <c r="S65" s="28">
        <v>4000</v>
      </c>
      <c r="T65" t="str" s="30" cm="1">
        <f t="array" ref="T65">IF($E65="","",ROUND($G65/$D$8,0)*$D$8)</f>
      </c>
      <c r="U65" s="14"/>
      <c r="V65" s="8"/>
    </row>
    <row r="66" ht="13.55" customHeight="1">
      <c r="A66" t="str" s="30" cm="1">
        <f t="array" ref="A66">IF($E66="","",COUNT($E$11:$E66))</f>
      </c>
      <c r="B66" s="39"/>
      <c r="C66" s="39"/>
      <c r="D66" s="39"/>
      <c r="E66" t="str" s="30" cm="1">
        <f t="array" ref="E66">IF($D66="","",_xlfn.IFERROR(IF($I66=-1,IF($D66&lt;0.5,$D66*86400,IF($D66&lt;100,$D66*1440,$D66)),IF($I66=2,VALUE(LEFT($D66,$J66-1))*3600+VALUE(MID($D66,$J66+1,$K66-$J66-1))*60,IF($I66=1,VALUE(LEFT($D66,$J66-1))*60,0))+IF($M66=0,VALUE($L66),VALUE(LEFT($L66,$M66-1))+VALUE(MID($L66,$M66+1,10))/10^(LEN($L66)-$M66))),""))</f>
      </c>
      <c r="F66" t="str" s="30" cm="1">
        <f t="array" ref="F66">IF($E66="","",MAX(0,$I$7-$E66))</f>
      </c>
      <c r="G66" t="str" s="30" cm="1">
        <f t="array" ref="G66">IF($E66="","",$F66*$D$7)</f>
      </c>
      <c r="H66" t="str" s="30" cm="1">
        <f t="array" ref="H66">IF($E66="","",$T66+IF(AND($V$6&gt;=$D$8,COUNT($E$11:$E66)=$V$7+1),$D$8,0))</f>
      </c>
      <c r="I66" t="str" s="30" cm="1">
        <f t="array" ref="I66">IF($D66="","",IF(ISTEXT($D66),LEN($D66)-LEN(SUBSTITUTE($D66,":","")),-1))</f>
      </c>
      <c r="J66" s="29" cm="1">
        <f t="array" ref="J66">_xlfn.IFERROR(FIND(":",$D66),0)</f>
        <v>0</v>
      </c>
      <c r="K66" s="29" cm="1">
        <f t="array" ref="K66">_xlfn.IFERROR(FIND(":",$D66,$J66+1),0)</f>
        <v>0</v>
      </c>
      <c r="L66" t="str" s="30" cm="1">
        <f t="array" ref="L66">IF($D66="","",IF($I66=2,MID($D66,$K66+1,10),IF($I66=1,MID($D66,$J66+1,10),IF($I66=0,$D66,""))))</f>
      </c>
      <c r="M66" s="29" cm="1">
        <f t="array" ref="M66">IF($L66="",0,_xlfn.IFERROR(FIND(".",SUBSTITUTE($L66,",",".")),0))</f>
        <v>0</v>
      </c>
      <c r="N66" s="29" cm="1">
        <f t="array" ref="N66">IF($E66="",10^9,$E66)</f>
        <v>1000000000</v>
      </c>
      <c r="O66" t="str" s="30" cm="1">
        <f t="array" ref="O66">IF($E66="","",SUM($E$11:$E66))</f>
      </c>
      <c r="P66" t="str" s="30" cm="1">
        <f t="array" ref="P66">IF($E66="","",($D$6/$D$7+$O66)/COUNT($E$11:$E66))</f>
      </c>
      <c r="Q66" s="29" cm="1">
        <f t="array" ref="Q66">IF($E66="",0,IF(AND($E66&lt;$P66,OR($E67="",$P66&lt;=$E67)),1,0))</f>
        <v>0</v>
      </c>
      <c r="R66" s="27" cm="1">
        <f t="array" ref="R66">IF($V$4=0,"",ROUND($V$4,1)-10+(66-11)*0.1)</f>
        <v>3150.7</v>
      </c>
      <c r="S66" s="28">
        <v>4000</v>
      </c>
      <c r="T66" t="str" s="30" cm="1">
        <f t="array" ref="T66">IF($E66="","",ROUND($G66/$D$8,0)*$D$8)</f>
      </c>
      <c r="U66" s="14"/>
      <c r="V66" s="8"/>
    </row>
    <row r="67" ht="13.55" customHeight="1">
      <c r="A67" t="str" s="30" cm="1">
        <f t="array" ref="A67">IF($E67="","",COUNT($E$11:$E67))</f>
      </c>
      <c r="B67" s="39"/>
      <c r="C67" s="39"/>
      <c r="D67" s="39"/>
      <c r="E67" t="str" s="30" cm="1">
        <f t="array" ref="E67">IF($D67="","",_xlfn.IFERROR(IF($I67=-1,IF($D67&lt;0.5,$D67*86400,IF($D67&lt;100,$D67*1440,$D67)),IF($I67=2,VALUE(LEFT($D67,$J67-1))*3600+VALUE(MID($D67,$J67+1,$K67-$J67-1))*60,IF($I67=1,VALUE(LEFT($D67,$J67-1))*60,0))+IF($M67=0,VALUE($L67),VALUE(LEFT($L67,$M67-1))+VALUE(MID($L67,$M67+1,10))/10^(LEN($L67)-$M67))),""))</f>
      </c>
      <c r="F67" t="str" s="30" cm="1">
        <f t="array" ref="F67">IF($E67="","",MAX(0,$I$7-$E67))</f>
      </c>
      <c r="G67" t="str" s="30" cm="1">
        <f t="array" ref="G67">IF($E67="","",$F67*$D$7)</f>
      </c>
      <c r="H67" t="str" s="30" cm="1">
        <f t="array" ref="H67">IF($E67="","",$T67+IF(AND($V$6&gt;=$D$8,COUNT($E$11:$E67)=$V$7+1),$D$8,0))</f>
      </c>
      <c r="I67" t="str" s="30" cm="1">
        <f t="array" ref="I67">IF($D67="","",IF(ISTEXT($D67),LEN($D67)-LEN(SUBSTITUTE($D67,":","")),-1))</f>
      </c>
      <c r="J67" s="29" cm="1">
        <f t="array" ref="J67">_xlfn.IFERROR(FIND(":",$D67),0)</f>
        <v>0</v>
      </c>
      <c r="K67" s="29" cm="1">
        <f t="array" ref="K67">_xlfn.IFERROR(FIND(":",$D67,$J67+1),0)</f>
        <v>0</v>
      </c>
      <c r="L67" t="str" s="30" cm="1">
        <f t="array" ref="L67">IF($D67="","",IF($I67=2,MID($D67,$K67+1,10),IF($I67=1,MID($D67,$J67+1,10),IF($I67=0,$D67,""))))</f>
      </c>
      <c r="M67" s="29" cm="1">
        <f t="array" ref="M67">IF($L67="",0,_xlfn.IFERROR(FIND(".",SUBSTITUTE($L67,",",".")),0))</f>
        <v>0</v>
      </c>
      <c r="N67" s="29" cm="1">
        <f t="array" ref="N67">IF($E67="",10^9,$E67)</f>
        <v>1000000000</v>
      </c>
      <c r="O67" t="str" s="30" cm="1">
        <f t="array" ref="O67">IF($E67="","",SUM($E$11:$E67))</f>
      </c>
      <c r="P67" t="str" s="30" cm="1">
        <f t="array" ref="P67">IF($E67="","",($D$6/$D$7+$O67)/COUNT($E$11:$E67))</f>
      </c>
      <c r="Q67" s="29" cm="1">
        <f t="array" ref="Q67">IF($E67="",0,IF(AND($E67&lt;$P67,OR($E68="",$P67&lt;=$E68)),1,0))</f>
        <v>0</v>
      </c>
      <c r="R67" s="27" cm="1">
        <f t="array" ref="R67">IF($V$4=0,"",ROUND($V$4,1)-10+(67-11)*0.1)</f>
        <v>3150.8</v>
      </c>
      <c r="S67" s="28">
        <v>4000</v>
      </c>
      <c r="T67" t="str" s="30" cm="1">
        <f t="array" ref="T67">IF($E67="","",ROUND($G67/$D$8,0)*$D$8)</f>
      </c>
      <c r="U67" s="14"/>
      <c r="V67" s="8"/>
    </row>
    <row r="68" ht="13.55" customHeight="1">
      <c r="A68" t="str" s="30" cm="1">
        <f t="array" ref="A68">IF($E68="","",COUNT($E$11:$E68))</f>
      </c>
      <c r="B68" s="39"/>
      <c r="C68" s="39"/>
      <c r="D68" s="39"/>
      <c r="E68" t="str" s="30" cm="1">
        <f t="array" ref="E68">IF($D68="","",_xlfn.IFERROR(IF($I68=-1,IF($D68&lt;0.5,$D68*86400,IF($D68&lt;100,$D68*1440,$D68)),IF($I68=2,VALUE(LEFT($D68,$J68-1))*3600+VALUE(MID($D68,$J68+1,$K68-$J68-1))*60,IF($I68=1,VALUE(LEFT($D68,$J68-1))*60,0))+IF($M68=0,VALUE($L68),VALUE(LEFT($L68,$M68-1))+VALUE(MID($L68,$M68+1,10))/10^(LEN($L68)-$M68))),""))</f>
      </c>
      <c r="F68" t="str" s="30" cm="1">
        <f t="array" ref="F68">IF($E68="","",MAX(0,$I$7-$E68))</f>
      </c>
      <c r="G68" t="str" s="30" cm="1">
        <f t="array" ref="G68">IF($E68="","",$F68*$D$7)</f>
      </c>
      <c r="H68" t="str" s="30" cm="1">
        <f t="array" ref="H68">IF($E68="","",$T68+IF(AND($V$6&gt;=$D$8,COUNT($E$11:$E68)=$V$7+1),$D$8,0))</f>
      </c>
      <c r="I68" t="str" s="30" cm="1">
        <f t="array" ref="I68">IF($D68="","",IF(ISTEXT($D68),LEN($D68)-LEN(SUBSTITUTE($D68,":","")),-1))</f>
      </c>
      <c r="J68" s="29" cm="1">
        <f t="array" ref="J68">_xlfn.IFERROR(FIND(":",$D68),0)</f>
        <v>0</v>
      </c>
      <c r="K68" s="29" cm="1">
        <f t="array" ref="K68">_xlfn.IFERROR(FIND(":",$D68,$J68+1),0)</f>
        <v>0</v>
      </c>
      <c r="L68" t="str" s="30" cm="1">
        <f t="array" ref="L68">IF($D68="","",IF($I68=2,MID($D68,$K68+1,10),IF($I68=1,MID($D68,$J68+1,10),IF($I68=0,$D68,""))))</f>
      </c>
      <c r="M68" s="29" cm="1">
        <f t="array" ref="M68">IF($L68="",0,_xlfn.IFERROR(FIND(".",SUBSTITUTE($L68,",",".")),0))</f>
        <v>0</v>
      </c>
      <c r="N68" s="29" cm="1">
        <f t="array" ref="N68">IF($E68="",10^9,$E68)</f>
        <v>1000000000</v>
      </c>
      <c r="O68" t="str" s="30" cm="1">
        <f t="array" ref="O68">IF($E68="","",SUM($E$11:$E68))</f>
      </c>
      <c r="P68" t="str" s="30" cm="1">
        <f t="array" ref="P68">IF($E68="","",($D$6/$D$7+$O68)/COUNT($E$11:$E68))</f>
      </c>
      <c r="Q68" s="29" cm="1">
        <f t="array" ref="Q68">IF($E68="",0,IF(AND($E68&lt;$P68,OR($E69="",$P68&lt;=$E69)),1,0))</f>
        <v>0</v>
      </c>
      <c r="R68" s="27" cm="1">
        <f t="array" ref="R68">IF($V$4=0,"",ROUND($V$4,1)-10+(68-11)*0.1)</f>
        <v>3150.9</v>
      </c>
      <c r="S68" s="28">
        <v>4000</v>
      </c>
      <c r="T68" t="str" s="30" cm="1">
        <f t="array" ref="T68">IF($E68="","",ROUND($G68/$D$8,0)*$D$8)</f>
      </c>
      <c r="U68" s="14"/>
      <c r="V68" s="8"/>
    </row>
    <row r="69" ht="13.55" customHeight="1">
      <c r="A69" t="str" s="30" cm="1">
        <f t="array" ref="A69">IF($E69="","",COUNT($E$11:$E69))</f>
      </c>
      <c r="B69" s="39"/>
      <c r="C69" s="39"/>
      <c r="D69" s="39"/>
      <c r="E69" t="str" s="30" cm="1">
        <f t="array" ref="E69">IF($D69="","",_xlfn.IFERROR(IF($I69=-1,IF($D69&lt;0.5,$D69*86400,IF($D69&lt;100,$D69*1440,$D69)),IF($I69=2,VALUE(LEFT($D69,$J69-1))*3600+VALUE(MID($D69,$J69+1,$K69-$J69-1))*60,IF($I69=1,VALUE(LEFT($D69,$J69-1))*60,0))+IF($M69=0,VALUE($L69),VALUE(LEFT($L69,$M69-1))+VALUE(MID($L69,$M69+1,10))/10^(LEN($L69)-$M69))),""))</f>
      </c>
      <c r="F69" t="str" s="30" cm="1">
        <f t="array" ref="F69">IF($E69="","",MAX(0,$I$7-$E69))</f>
      </c>
      <c r="G69" t="str" s="30" cm="1">
        <f t="array" ref="G69">IF($E69="","",$F69*$D$7)</f>
      </c>
      <c r="H69" t="str" s="30" cm="1">
        <f t="array" ref="H69">IF($E69="","",$T69+IF(AND($V$6&gt;=$D$8,COUNT($E$11:$E69)=$V$7+1),$D$8,0))</f>
      </c>
      <c r="I69" t="str" s="30" cm="1">
        <f t="array" ref="I69">IF($D69="","",IF(ISTEXT($D69),LEN($D69)-LEN(SUBSTITUTE($D69,":","")),-1))</f>
      </c>
      <c r="J69" s="29" cm="1">
        <f t="array" ref="J69">_xlfn.IFERROR(FIND(":",$D69),0)</f>
        <v>0</v>
      </c>
      <c r="K69" s="29" cm="1">
        <f t="array" ref="K69">_xlfn.IFERROR(FIND(":",$D69,$J69+1),0)</f>
        <v>0</v>
      </c>
      <c r="L69" t="str" s="30" cm="1">
        <f t="array" ref="L69">IF($D69="","",IF($I69=2,MID($D69,$K69+1,10),IF($I69=1,MID($D69,$J69+1,10),IF($I69=0,$D69,""))))</f>
      </c>
      <c r="M69" s="29" cm="1">
        <f t="array" ref="M69">IF($L69="",0,_xlfn.IFERROR(FIND(".",SUBSTITUTE($L69,",",".")),0))</f>
        <v>0</v>
      </c>
      <c r="N69" s="29" cm="1">
        <f t="array" ref="N69">IF($E69="",10^9,$E69)</f>
        <v>1000000000</v>
      </c>
      <c r="O69" t="str" s="30" cm="1">
        <f t="array" ref="O69">IF($E69="","",SUM($E$11:$E69))</f>
      </c>
      <c r="P69" t="str" s="30" cm="1">
        <f t="array" ref="P69">IF($E69="","",($D$6/$D$7+$O69)/COUNT($E$11:$E69))</f>
      </c>
      <c r="Q69" s="29" cm="1">
        <f t="array" ref="Q69">IF($E69="",0,IF(AND($E69&lt;$P69,OR($E70="",$P69&lt;=$E70)),1,0))</f>
        <v>0</v>
      </c>
      <c r="R69" s="27" cm="1">
        <f t="array" ref="R69">IF($V$4=0,"",ROUND($V$4,1)-10+(69-11)*0.1)</f>
        <v>3151</v>
      </c>
      <c r="S69" s="28">
        <v>4000</v>
      </c>
      <c r="T69" t="str" s="30" cm="1">
        <f t="array" ref="T69">IF($E69="","",ROUND($G69/$D$8,0)*$D$8)</f>
      </c>
      <c r="U69" s="14"/>
      <c r="V69" s="8"/>
    </row>
    <row r="70" ht="13.55" customHeight="1">
      <c r="A70" t="str" s="30" cm="1">
        <f t="array" ref="A70">IF($E70="","",COUNT($E$11:$E70))</f>
      </c>
      <c r="B70" s="39"/>
      <c r="C70" s="39"/>
      <c r="D70" s="39"/>
      <c r="E70" t="str" s="30" cm="1">
        <f t="array" ref="E70">IF($D70="","",_xlfn.IFERROR(IF($I70=-1,IF($D70&lt;0.5,$D70*86400,IF($D70&lt;100,$D70*1440,$D70)),IF($I70=2,VALUE(LEFT($D70,$J70-1))*3600+VALUE(MID($D70,$J70+1,$K70-$J70-1))*60,IF($I70=1,VALUE(LEFT($D70,$J70-1))*60,0))+IF($M70=0,VALUE($L70),VALUE(LEFT($L70,$M70-1))+VALUE(MID($L70,$M70+1,10))/10^(LEN($L70)-$M70))),""))</f>
      </c>
      <c r="F70" t="str" s="30" cm="1">
        <f t="array" ref="F70">IF($E70="","",MAX(0,$I$7-$E70))</f>
      </c>
      <c r="G70" t="str" s="30" cm="1">
        <f t="array" ref="G70">IF($E70="","",$F70*$D$7)</f>
      </c>
      <c r="H70" t="str" s="30" cm="1">
        <f t="array" ref="H70">IF($E70="","",$T70+IF(AND($V$6&gt;=$D$8,COUNT($E$11:$E70)=$V$7+1),$D$8,0))</f>
      </c>
      <c r="I70" t="str" s="30" cm="1">
        <f t="array" ref="I70">IF($D70="","",IF(ISTEXT($D70),LEN($D70)-LEN(SUBSTITUTE($D70,":","")),-1))</f>
      </c>
      <c r="J70" s="29" cm="1">
        <f t="array" ref="J70">_xlfn.IFERROR(FIND(":",$D70),0)</f>
        <v>0</v>
      </c>
      <c r="K70" s="29" cm="1">
        <f t="array" ref="K70">_xlfn.IFERROR(FIND(":",$D70,$J70+1),0)</f>
        <v>0</v>
      </c>
      <c r="L70" t="str" s="30" cm="1">
        <f t="array" ref="L70">IF($D70="","",IF($I70=2,MID($D70,$K70+1,10),IF($I70=1,MID($D70,$J70+1,10),IF($I70=0,$D70,""))))</f>
      </c>
      <c r="M70" s="29" cm="1">
        <f t="array" ref="M70">IF($L70="",0,_xlfn.IFERROR(FIND(".",SUBSTITUTE($L70,",",".")),0))</f>
        <v>0</v>
      </c>
      <c r="N70" s="29" cm="1">
        <f t="array" ref="N70">IF($E70="",10^9,$E70)</f>
        <v>1000000000</v>
      </c>
      <c r="O70" t="str" s="30" cm="1">
        <f t="array" ref="O70">IF($E70="","",SUM($E$11:$E70))</f>
      </c>
      <c r="P70" t="str" s="30" cm="1">
        <f t="array" ref="P70">IF($E70="","",($D$6/$D$7+$O70)/COUNT($E$11:$E70))</f>
      </c>
      <c r="Q70" s="29" cm="1">
        <f t="array" ref="Q70">IF($E70="",0,IF(AND($E70&lt;$P70,OR($E71="",$P70&lt;=$E71)),1,0))</f>
        <v>0</v>
      </c>
      <c r="R70" s="27" cm="1">
        <f t="array" ref="R70">IF($V$4=0,"",ROUND($V$4,1)-10+(70-11)*0.1)</f>
        <v>3151.1</v>
      </c>
      <c r="S70" s="28">
        <v>4000</v>
      </c>
      <c r="T70" t="str" s="30" cm="1">
        <f t="array" ref="T70">IF($E70="","",ROUND($G70/$D$8,0)*$D$8)</f>
      </c>
      <c r="U70" s="14"/>
      <c r="V70" s="8"/>
    </row>
    <row r="71" ht="13.55" customHeight="1">
      <c r="A71" t="str" s="30" cm="1">
        <f t="array" ref="A71">IF($E71="","",COUNT($E$11:$E71))</f>
      </c>
      <c r="B71" s="39"/>
      <c r="C71" s="39"/>
      <c r="D71" s="39"/>
      <c r="E71" t="str" s="30" cm="1">
        <f t="array" ref="E71">IF($D71="","",_xlfn.IFERROR(IF($I71=-1,IF($D71&lt;0.5,$D71*86400,IF($D71&lt;100,$D71*1440,$D71)),IF($I71=2,VALUE(LEFT($D71,$J71-1))*3600+VALUE(MID($D71,$J71+1,$K71-$J71-1))*60,IF($I71=1,VALUE(LEFT($D71,$J71-1))*60,0))+IF($M71=0,VALUE($L71),VALUE(LEFT($L71,$M71-1))+VALUE(MID($L71,$M71+1,10))/10^(LEN($L71)-$M71))),""))</f>
      </c>
      <c r="F71" t="str" s="30" cm="1">
        <f t="array" ref="F71">IF($E71="","",MAX(0,$I$7-$E71))</f>
      </c>
      <c r="G71" t="str" s="30" cm="1">
        <f t="array" ref="G71">IF($E71="","",$F71*$D$7)</f>
      </c>
      <c r="H71" t="str" s="30" cm="1">
        <f t="array" ref="H71">IF($E71="","",$T71+IF(AND($V$6&gt;=$D$8,COUNT($E$11:$E71)=$V$7+1),$D$8,0))</f>
      </c>
      <c r="I71" t="str" s="30" cm="1">
        <f t="array" ref="I71">IF($D71="","",IF(ISTEXT($D71),LEN($D71)-LEN(SUBSTITUTE($D71,":","")),-1))</f>
      </c>
      <c r="J71" s="29" cm="1">
        <f t="array" ref="J71">_xlfn.IFERROR(FIND(":",$D71),0)</f>
        <v>0</v>
      </c>
      <c r="K71" s="29" cm="1">
        <f t="array" ref="K71">_xlfn.IFERROR(FIND(":",$D71,$J71+1),0)</f>
        <v>0</v>
      </c>
      <c r="L71" t="str" s="30" cm="1">
        <f t="array" ref="L71">IF($D71="","",IF($I71=2,MID($D71,$K71+1,10),IF($I71=1,MID($D71,$J71+1,10),IF($I71=0,$D71,""))))</f>
      </c>
      <c r="M71" s="29" cm="1">
        <f t="array" ref="M71">IF($L71="",0,_xlfn.IFERROR(FIND(".",SUBSTITUTE($L71,",",".")),0))</f>
        <v>0</v>
      </c>
      <c r="N71" s="29" cm="1">
        <f t="array" ref="N71">IF($E71="",10^9,$E71)</f>
        <v>1000000000</v>
      </c>
      <c r="O71" t="str" s="30" cm="1">
        <f t="array" ref="O71">IF($E71="","",SUM($E$11:$E71))</f>
      </c>
      <c r="P71" t="str" s="30" cm="1">
        <f t="array" ref="P71">IF($E71="","",($D$6/$D$7+$O71)/COUNT($E$11:$E71))</f>
      </c>
      <c r="Q71" s="29" cm="1">
        <f t="array" ref="Q71">IF($E71="",0,IF(AND($E71&lt;$P71,OR($E72="",$P71&lt;=$E72)),1,0))</f>
        <v>0</v>
      </c>
      <c r="R71" s="27" cm="1">
        <f t="array" ref="R71">IF($V$4=0,"",ROUND($V$4,1)-10+(71-11)*0.1)</f>
        <v>3151.2</v>
      </c>
      <c r="S71" s="28">
        <v>4000</v>
      </c>
      <c r="T71" t="str" s="30" cm="1">
        <f t="array" ref="T71">IF($E71="","",ROUND($G71/$D$8,0)*$D$8)</f>
      </c>
      <c r="U71" s="14"/>
      <c r="V71" s="8"/>
    </row>
    <row r="72" ht="13.55" customHeight="1">
      <c r="A72" t="str" s="30" cm="1">
        <f t="array" ref="A72">IF($E72="","",COUNT($E$11:$E72))</f>
      </c>
      <c r="B72" s="39"/>
      <c r="C72" s="39"/>
      <c r="D72" s="39"/>
      <c r="E72" t="str" s="30" cm="1">
        <f t="array" ref="E72">IF($D72="","",_xlfn.IFERROR(IF($I72=-1,IF($D72&lt;0.5,$D72*86400,IF($D72&lt;100,$D72*1440,$D72)),IF($I72=2,VALUE(LEFT($D72,$J72-1))*3600+VALUE(MID($D72,$J72+1,$K72-$J72-1))*60,IF($I72=1,VALUE(LEFT($D72,$J72-1))*60,0))+IF($M72=0,VALUE($L72),VALUE(LEFT($L72,$M72-1))+VALUE(MID($L72,$M72+1,10))/10^(LEN($L72)-$M72))),""))</f>
      </c>
      <c r="F72" t="str" s="30" cm="1">
        <f t="array" ref="F72">IF($E72="","",MAX(0,$I$7-$E72))</f>
      </c>
      <c r="G72" t="str" s="30" cm="1">
        <f t="array" ref="G72">IF($E72="","",$F72*$D$7)</f>
      </c>
      <c r="H72" t="str" s="30" cm="1">
        <f t="array" ref="H72">IF($E72="","",$T72+IF(AND($V$6&gt;=$D$8,COUNT($E$11:$E72)=$V$7+1),$D$8,0))</f>
      </c>
      <c r="I72" t="str" s="30" cm="1">
        <f t="array" ref="I72">IF($D72="","",IF(ISTEXT($D72),LEN($D72)-LEN(SUBSTITUTE($D72,":","")),-1))</f>
      </c>
      <c r="J72" s="29" cm="1">
        <f t="array" ref="J72">_xlfn.IFERROR(FIND(":",$D72),0)</f>
        <v>0</v>
      </c>
      <c r="K72" s="29" cm="1">
        <f t="array" ref="K72">_xlfn.IFERROR(FIND(":",$D72,$J72+1),0)</f>
        <v>0</v>
      </c>
      <c r="L72" t="str" s="30" cm="1">
        <f t="array" ref="L72">IF($D72="","",IF($I72=2,MID($D72,$K72+1,10),IF($I72=1,MID($D72,$J72+1,10),IF($I72=0,$D72,""))))</f>
      </c>
      <c r="M72" s="29" cm="1">
        <f t="array" ref="M72">IF($L72="",0,_xlfn.IFERROR(FIND(".",SUBSTITUTE($L72,",",".")),0))</f>
        <v>0</v>
      </c>
      <c r="N72" s="29" cm="1">
        <f t="array" ref="N72">IF($E72="",10^9,$E72)</f>
        <v>1000000000</v>
      </c>
      <c r="O72" t="str" s="30" cm="1">
        <f t="array" ref="O72">IF($E72="","",SUM($E$11:$E72))</f>
      </c>
      <c r="P72" t="str" s="30" cm="1">
        <f t="array" ref="P72">IF($E72="","",($D$6/$D$7+$O72)/COUNT($E$11:$E72))</f>
      </c>
      <c r="Q72" s="29" cm="1">
        <f t="array" ref="Q72">IF($E72="",0,IF(AND($E72&lt;$P72,OR($E73="",$P72&lt;=$E73)),1,0))</f>
        <v>0</v>
      </c>
      <c r="R72" s="27" cm="1">
        <f t="array" ref="R72">IF($V$4=0,"",ROUND($V$4,1)-10+(72-11)*0.1)</f>
        <v>3151.3</v>
      </c>
      <c r="S72" s="28">
        <v>4000</v>
      </c>
      <c r="T72" t="str" s="30" cm="1">
        <f t="array" ref="T72">IF($E72="","",ROUND($G72/$D$8,0)*$D$8)</f>
      </c>
      <c r="U72" s="14"/>
      <c r="V72" s="8"/>
    </row>
    <row r="73" ht="13.55" customHeight="1">
      <c r="A73" t="str" s="30" cm="1">
        <f t="array" ref="A73">IF($E73="","",COUNT($E$11:$E73))</f>
      </c>
      <c r="B73" s="39"/>
      <c r="C73" s="39"/>
      <c r="D73" s="39"/>
      <c r="E73" t="str" s="30" cm="1">
        <f t="array" ref="E73">IF($D73="","",_xlfn.IFERROR(IF($I73=-1,IF($D73&lt;0.5,$D73*86400,IF($D73&lt;100,$D73*1440,$D73)),IF($I73=2,VALUE(LEFT($D73,$J73-1))*3600+VALUE(MID($D73,$J73+1,$K73-$J73-1))*60,IF($I73=1,VALUE(LEFT($D73,$J73-1))*60,0))+IF($M73=0,VALUE($L73),VALUE(LEFT($L73,$M73-1))+VALUE(MID($L73,$M73+1,10))/10^(LEN($L73)-$M73))),""))</f>
      </c>
      <c r="F73" t="str" s="30" cm="1">
        <f t="array" ref="F73">IF($E73="","",MAX(0,$I$7-$E73))</f>
      </c>
      <c r="G73" t="str" s="30" cm="1">
        <f t="array" ref="G73">IF($E73="","",$F73*$D$7)</f>
      </c>
      <c r="H73" t="str" s="30" cm="1">
        <f t="array" ref="H73">IF($E73="","",$T73+IF(AND($V$6&gt;=$D$8,COUNT($E$11:$E73)=$V$7+1),$D$8,0))</f>
      </c>
      <c r="I73" t="str" s="30" cm="1">
        <f t="array" ref="I73">IF($D73="","",IF(ISTEXT($D73),LEN($D73)-LEN(SUBSTITUTE($D73,":","")),-1))</f>
      </c>
      <c r="J73" s="29" cm="1">
        <f t="array" ref="J73">_xlfn.IFERROR(FIND(":",$D73),0)</f>
        <v>0</v>
      </c>
      <c r="K73" s="29" cm="1">
        <f t="array" ref="K73">_xlfn.IFERROR(FIND(":",$D73,$J73+1),0)</f>
        <v>0</v>
      </c>
      <c r="L73" t="str" s="30" cm="1">
        <f t="array" ref="L73">IF($D73="","",IF($I73=2,MID($D73,$K73+1,10),IF($I73=1,MID($D73,$J73+1,10),IF($I73=0,$D73,""))))</f>
      </c>
      <c r="M73" s="29" cm="1">
        <f t="array" ref="M73">IF($L73="",0,_xlfn.IFERROR(FIND(".",SUBSTITUTE($L73,",",".")),0))</f>
        <v>0</v>
      </c>
      <c r="N73" s="29" cm="1">
        <f t="array" ref="N73">IF($E73="",10^9,$E73)</f>
        <v>1000000000</v>
      </c>
      <c r="O73" t="str" s="30" cm="1">
        <f t="array" ref="O73">IF($E73="","",SUM($E$11:$E73))</f>
      </c>
      <c r="P73" t="str" s="30" cm="1">
        <f t="array" ref="P73">IF($E73="","",($D$6/$D$7+$O73)/COUNT($E$11:$E73))</f>
      </c>
      <c r="Q73" s="29" cm="1">
        <f t="array" ref="Q73">IF($E73="",0,IF(AND($E73&lt;$P73,OR($E74="",$P73&lt;=$E74)),1,0))</f>
        <v>0</v>
      </c>
      <c r="R73" s="27" cm="1">
        <f t="array" ref="R73">IF($V$4=0,"",ROUND($V$4,1)-10+(73-11)*0.1)</f>
        <v>3151.4</v>
      </c>
      <c r="S73" s="28">
        <v>4000</v>
      </c>
      <c r="T73" t="str" s="30" cm="1">
        <f t="array" ref="T73">IF($E73="","",ROUND($G73/$D$8,0)*$D$8)</f>
      </c>
      <c r="U73" s="14"/>
      <c r="V73" s="8"/>
    </row>
    <row r="74" ht="13.55" customHeight="1">
      <c r="A74" t="str" s="30" cm="1">
        <f t="array" ref="A74">IF($E74="","",COUNT($E$11:$E74))</f>
      </c>
      <c r="B74" s="39"/>
      <c r="C74" s="39"/>
      <c r="D74" s="39"/>
      <c r="E74" t="str" s="30" cm="1">
        <f t="array" ref="E74">IF($D74="","",_xlfn.IFERROR(IF($I74=-1,IF($D74&lt;0.5,$D74*86400,IF($D74&lt;100,$D74*1440,$D74)),IF($I74=2,VALUE(LEFT($D74,$J74-1))*3600+VALUE(MID($D74,$J74+1,$K74-$J74-1))*60,IF($I74=1,VALUE(LEFT($D74,$J74-1))*60,0))+IF($M74=0,VALUE($L74),VALUE(LEFT($L74,$M74-1))+VALUE(MID($L74,$M74+1,10))/10^(LEN($L74)-$M74))),""))</f>
      </c>
      <c r="F74" t="str" s="30" cm="1">
        <f t="array" ref="F74">IF($E74="","",MAX(0,$I$7-$E74))</f>
      </c>
      <c r="G74" t="str" s="30" cm="1">
        <f t="array" ref="G74">IF($E74="","",$F74*$D$7)</f>
      </c>
      <c r="H74" t="str" s="30" cm="1">
        <f t="array" ref="H74">IF($E74="","",$T74+IF(AND($V$6&gt;=$D$8,COUNT($E$11:$E74)=$V$7+1),$D$8,0))</f>
      </c>
      <c r="I74" t="str" s="30" cm="1">
        <f t="array" ref="I74">IF($D74="","",IF(ISTEXT($D74),LEN($D74)-LEN(SUBSTITUTE($D74,":","")),-1))</f>
      </c>
      <c r="J74" s="29" cm="1">
        <f t="array" ref="J74">_xlfn.IFERROR(FIND(":",$D74),0)</f>
        <v>0</v>
      </c>
      <c r="K74" s="29" cm="1">
        <f t="array" ref="K74">_xlfn.IFERROR(FIND(":",$D74,$J74+1),0)</f>
        <v>0</v>
      </c>
      <c r="L74" t="str" s="30" cm="1">
        <f t="array" ref="L74">IF($D74="","",IF($I74=2,MID($D74,$K74+1,10),IF($I74=1,MID($D74,$J74+1,10),IF($I74=0,$D74,""))))</f>
      </c>
      <c r="M74" s="29" cm="1">
        <f t="array" ref="M74">IF($L74="",0,_xlfn.IFERROR(FIND(".",SUBSTITUTE($L74,",",".")),0))</f>
        <v>0</v>
      </c>
      <c r="N74" s="29" cm="1">
        <f t="array" ref="N74">IF($E74="",10^9,$E74)</f>
        <v>1000000000</v>
      </c>
      <c r="O74" t="str" s="30" cm="1">
        <f t="array" ref="O74">IF($E74="","",SUM($E$11:$E74))</f>
      </c>
      <c r="P74" t="str" s="30" cm="1">
        <f t="array" ref="P74">IF($E74="","",($D$6/$D$7+$O74)/COUNT($E$11:$E74))</f>
      </c>
      <c r="Q74" s="29" cm="1">
        <f t="array" ref="Q74">IF($E74="",0,IF(AND($E74&lt;$P74,OR($E75="",$P74&lt;=$E75)),1,0))</f>
        <v>0</v>
      </c>
      <c r="R74" s="27" cm="1">
        <f t="array" ref="R74">IF($V$4=0,"",ROUND($V$4,1)-10+(74-11)*0.1)</f>
        <v>3151.5</v>
      </c>
      <c r="S74" s="28">
        <v>4000</v>
      </c>
      <c r="T74" t="str" s="30" cm="1">
        <f t="array" ref="T74">IF($E74="","",ROUND($G74/$D$8,0)*$D$8)</f>
      </c>
      <c r="U74" s="14"/>
      <c r="V74" s="8"/>
    </row>
    <row r="75" ht="13.55" customHeight="1">
      <c r="A75" t="str" s="30" cm="1">
        <f t="array" ref="A75">IF($E75="","",COUNT($E$11:$E75))</f>
      </c>
      <c r="B75" s="39"/>
      <c r="C75" s="39"/>
      <c r="D75" s="39"/>
      <c r="E75" t="str" s="30" cm="1">
        <f t="array" ref="E75">IF($D75="","",_xlfn.IFERROR(IF($I75=-1,IF($D75&lt;0.5,$D75*86400,IF($D75&lt;100,$D75*1440,$D75)),IF($I75=2,VALUE(LEFT($D75,$J75-1))*3600+VALUE(MID($D75,$J75+1,$K75-$J75-1))*60,IF($I75=1,VALUE(LEFT($D75,$J75-1))*60,0))+IF($M75=0,VALUE($L75),VALUE(LEFT($L75,$M75-1))+VALUE(MID($L75,$M75+1,10))/10^(LEN($L75)-$M75))),""))</f>
      </c>
      <c r="F75" t="str" s="30" cm="1">
        <f t="array" ref="F75">IF($E75="","",MAX(0,$I$7-$E75))</f>
      </c>
      <c r="G75" t="str" s="30" cm="1">
        <f t="array" ref="G75">IF($E75="","",$F75*$D$7)</f>
      </c>
      <c r="H75" t="str" s="30" cm="1">
        <f t="array" ref="H75">IF($E75="","",$T75+IF(AND($V$6&gt;=$D$8,COUNT($E$11:$E75)=$V$7+1),$D$8,0))</f>
      </c>
      <c r="I75" t="str" s="30" cm="1">
        <f t="array" ref="I75">IF($D75="","",IF(ISTEXT($D75),LEN($D75)-LEN(SUBSTITUTE($D75,":","")),-1))</f>
      </c>
      <c r="J75" s="29" cm="1">
        <f t="array" ref="J75">_xlfn.IFERROR(FIND(":",$D75),0)</f>
        <v>0</v>
      </c>
      <c r="K75" s="29" cm="1">
        <f t="array" ref="K75">_xlfn.IFERROR(FIND(":",$D75,$J75+1),0)</f>
        <v>0</v>
      </c>
      <c r="L75" t="str" s="30" cm="1">
        <f t="array" ref="L75">IF($D75="","",IF($I75=2,MID($D75,$K75+1,10),IF($I75=1,MID($D75,$J75+1,10),IF($I75=0,$D75,""))))</f>
      </c>
      <c r="M75" s="29" cm="1">
        <f t="array" ref="M75">IF($L75="",0,_xlfn.IFERROR(FIND(".",SUBSTITUTE($L75,",",".")),0))</f>
        <v>0</v>
      </c>
      <c r="N75" s="29" cm="1">
        <f t="array" ref="N75">IF($E75="",10^9,$E75)</f>
        <v>1000000000</v>
      </c>
      <c r="O75" t="str" s="30" cm="1">
        <f t="array" ref="O75">IF($E75="","",SUM($E$11:$E75))</f>
      </c>
      <c r="P75" t="str" s="30" cm="1">
        <f t="array" ref="P75">IF($E75="","",($D$6/$D$7+$O75)/COUNT($E$11:$E75))</f>
      </c>
      <c r="Q75" s="29" cm="1">
        <f t="array" ref="Q75">IF($E75="",0,IF(AND($E75&lt;$P75,OR($E76="",$P75&lt;=$E76)),1,0))</f>
        <v>0</v>
      </c>
      <c r="R75" s="27" cm="1">
        <f t="array" ref="R75">IF($V$4=0,"",ROUND($V$4,1)-10+(75-11)*0.1)</f>
        <v>3151.6</v>
      </c>
      <c r="S75" s="28">
        <v>4000</v>
      </c>
      <c r="T75" t="str" s="30" cm="1">
        <f t="array" ref="T75">IF($E75="","",ROUND($G75/$D$8,0)*$D$8)</f>
      </c>
      <c r="U75" s="14"/>
      <c r="V75" s="8"/>
    </row>
    <row r="76" ht="13.55" customHeight="1">
      <c r="A76" t="str" s="30" cm="1">
        <f t="array" ref="A76">IF($E76="","",COUNT($E$11:$E76))</f>
      </c>
      <c r="B76" s="39"/>
      <c r="C76" s="39"/>
      <c r="D76" s="39"/>
      <c r="E76" t="str" s="30" cm="1">
        <f t="array" ref="E76">IF($D76="","",_xlfn.IFERROR(IF($I76=-1,IF($D76&lt;0.5,$D76*86400,IF($D76&lt;100,$D76*1440,$D76)),IF($I76=2,VALUE(LEFT($D76,$J76-1))*3600+VALUE(MID($D76,$J76+1,$K76-$J76-1))*60,IF($I76=1,VALUE(LEFT($D76,$J76-1))*60,0))+IF($M76=0,VALUE($L76),VALUE(LEFT($L76,$M76-1))+VALUE(MID($L76,$M76+1,10))/10^(LEN($L76)-$M76))),""))</f>
      </c>
      <c r="F76" t="str" s="30" cm="1">
        <f t="array" ref="F76">IF($E76="","",MAX(0,$I$7-$E76))</f>
      </c>
      <c r="G76" t="str" s="30" cm="1">
        <f t="array" ref="G76">IF($E76="","",$F76*$D$7)</f>
      </c>
      <c r="H76" t="str" s="30" cm="1">
        <f t="array" ref="H76">IF($E76="","",$T76+IF(AND($V$6&gt;=$D$8,COUNT($E$11:$E76)=$V$7+1),$D$8,0))</f>
      </c>
      <c r="I76" t="str" s="30" cm="1">
        <f t="array" ref="I76">IF($D76="","",IF(ISTEXT($D76),LEN($D76)-LEN(SUBSTITUTE($D76,":","")),-1))</f>
      </c>
      <c r="J76" s="29" cm="1">
        <f t="array" ref="J76">_xlfn.IFERROR(FIND(":",$D76),0)</f>
        <v>0</v>
      </c>
      <c r="K76" s="29" cm="1">
        <f t="array" ref="K76">_xlfn.IFERROR(FIND(":",$D76,$J76+1),0)</f>
        <v>0</v>
      </c>
      <c r="L76" t="str" s="30" cm="1">
        <f t="array" ref="L76">IF($D76="","",IF($I76=2,MID($D76,$K76+1,10),IF($I76=1,MID($D76,$J76+1,10),IF($I76=0,$D76,""))))</f>
      </c>
      <c r="M76" s="29" cm="1">
        <f t="array" ref="M76">IF($L76="",0,_xlfn.IFERROR(FIND(".",SUBSTITUTE($L76,",",".")),0))</f>
        <v>0</v>
      </c>
      <c r="N76" s="29" cm="1">
        <f t="array" ref="N76">IF($E76="",10^9,$E76)</f>
        <v>1000000000</v>
      </c>
      <c r="O76" t="str" s="30" cm="1">
        <f t="array" ref="O76">IF($E76="","",SUM($E$11:$E76))</f>
      </c>
      <c r="P76" t="str" s="30" cm="1">
        <f t="array" ref="P76">IF($E76="","",($D$6/$D$7+$O76)/COUNT($E$11:$E76))</f>
      </c>
      <c r="Q76" s="29" cm="1">
        <f t="array" ref="Q76">IF($E76="",0,IF(AND($E76&lt;$P76,OR($E77="",$P76&lt;=$E77)),1,0))</f>
        <v>0</v>
      </c>
      <c r="R76" s="27" cm="1">
        <f t="array" ref="R76">IF($V$4=0,"",ROUND($V$4,1)-10+(76-11)*0.1)</f>
        <v>3151.7</v>
      </c>
      <c r="S76" s="28">
        <v>4000</v>
      </c>
      <c r="T76" t="str" s="30" cm="1">
        <f t="array" ref="T76">IF($E76="","",ROUND($G76/$D$8,0)*$D$8)</f>
      </c>
      <c r="U76" s="14"/>
      <c r="V76" s="8"/>
    </row>
    <row r="77" ht="13.55" customHeight="1">
      <c r="A77" t="str" s="30" cm="1">
        <f t="array" ref="A77">IF($E77="","",COUNT($E$11:$E77))</f>
      </c>
      <c r="B77" s="39"/>
      <c r="C77" s="39"/>
      <c r="D77" s="39"/>
      <c r="E77" t="str" s="30" cm="1">
        <f t="array" ref="E77">IF($D77="","",_xlfn.IFERROR(IF($I77=-1,IF($D77&lt;0.5,$D77*86400,IF($D77&lt;100,$D77*1440,$D77)),IF($I77=2,VALUE(LEFT($D77,$J77-1))*3600+VALUE(MID($D77,$J77+1,$K77-$J77-1))*60,IF($I77=1,VALUE(LEFT($D77,$J77-1))*60,0))+IF($M77=0,VALUE($L77),VALUE(LEFT($L77,$M77-1))+VALUE(MID($L77,$M77+1,10))/10^(LEN($L77)-$M77))),""))</f>
      </c>
      <c r="F77" t="str" s="30" cm="1">
        <f t="array" ref="F77">IF($E77="","",MAX(0,$I$7-$E77))</f>
      </c>
      <c r="G77" t="str" s="30" cm="1">
        <f t="array" ref="G77">IF($E77="","",$F77*$D$7)</f>
      </c>
      <c r="H77" t="str" s="30" cm="1">
        <f t="array" ref="H77">IF($E77="","",$T77+IF(AND($V$6&gt;=$D$8,COUNT($E$11:$E77)=$V$7+1),$D$8,0))</f>
      </c>
      <c r="I77" t="str" s="30" cm="1">
        <f t="array" ref="I77">IF($D77="","",IF(ISTEXT($D77),LEN($D77)-LEN(SUBSTITUTE($D77,":","")),-1))</f>
      </c>
      <c r="J77" s="29" cm="1">
        <f t="array" ref="J77">_xlfn.IFERROR(FIND(":",$D77),0)</f>
        <v>0</v>
      </c>
      <c r="K77" s="29" cm="1">
        <f t="array" ref="K77">_xlfn.IFERROR(FIND(":",$D77,$J77+1),0)</f>
        <v>0</v>
      </c>
      <c r="L77" t="str" s="30" cm="1">
        <f t="array" ref="L77">IF($D77="","",IF($I77=2,MID($D77,$K77+1,10),IF($I77=1,MID($D77,$J77+1,10),IF($I77=0,$D77,""))))</f>
      </c>
      <c r="M77" s="29" cm="1">
        <f t="array" ref="M77">IF($L77="",0,_xlfn.IFERROR(FIND(".",SUBSTITUTE($L77,",",".")),0))</f>
        <v>0</v>
      </c>
      <c r="N77" s="29" cm="1">
        <f t="array" ref="N77">IF($E77="",10^9,$E77)</f>
        <v>1000000000</v>
      </c>
      <c r="O77" t="str" s="30" cm="1">
        <f t="array" ref="O77">IF($E77="","",SUM($E$11:$E77))</f>
      </c>
      <c r="P77" t="str" s="30" cm="1">
        <f t="array" ref="P77">IF($E77="","",($D$6/$D$7+$O77)/COUNT($E$11:$E77))</f>
      </c>
      <c r="Q77" s="29" cm="1">
        <f t="array" ref="Q77">IF($E77="",0,IF(AND($E77&lt;$P77,OR($E78="",$P77&lt;=$E78)),1,0))</f>
        <v>0</v>
      </c>
      <c r="R77" s="27" cm="1">
        <f t="array" ref="R77">IF($V$4=0,"",ROUND($V$4,1)-10+(77-11)*0.1)</f>
        <v>3151.8</v>
      </c>
      <c r="S77" s="28">
        <v>4000</v>
      </c>
      <c r="T77" t="str" s="30" cm="1">
        <f t="array" ref="T77">IF($E77="","",ROUND($G77/$D$8,0)*$D$8)</f>
      </c>
      <c r="U77" s="14"/>
      <c r="V77" s="8"/>
    </row>
    <row r="78" ht="13.55" customHeight="1">
      <c r="A78" t="str" s="30" cm="1">
        <f t="array" ref="A78">IF($E78="","",COUNT($E$11:$E78))</f>
      </c>
      <c r="B78" s="39"/>
      <c r="C78" s="39"/>
      <c r="D78" s="39"/>
      <c r="E78" t="str" s="30" cm="1">
        <f t="array" ref="E78">IF($D78="","",_xlfn.IFERROR(IF($I78=-1,IF($D78&lt;0.5,$D78*86400,IF($D78&lt;100,$D78*1440,$D78)),IF($I78=2,VALUE(LEFT($D78,$J78-1))*3600+VALUE(MID($D78,$J78+1,$K78-$J78-1))*60,IF($I78=1,VALUE(LEFT($D78,$J78-1))*60,0))+IF($M78=0,VALUE($L78),VALUE(LEFT($L78,$M78-1))+VALUE(MID($L78,$M78+1,10))/10^(LEN($L78)-$M78))),""))</f>
      </c>
      <c r="F78" t="str" s="30" cm="1">
        <f t="array" ref="F78">IF($E78="","",MAX(0,$I$7-$E78))</f>
      </c>
      <c r="G78" t="str" s="30" cm="1">
        <f t="array" ref="G78">IF($E78="","",$F78*$D$7)</f>
      </c>
      <c r="H78" t="str" s="30" cm="1">
        <f t="array" ref="H78">IF($E78="","",$T78+IF(AND($V$6&gt;=$D$8,COUNT($E$11:$E78)=$V$7+1),$D$8,0))</f>
      </c>
      <c r="I78" t="str" s="30" cm="1">
        <f t="array" ref="I78">IF($D78="","",IF(ISTEXT($D78),LEN($D78)-LEN(SUBSTITUTE($D78,":","")),-1))</f>
      </c>
      <c r="J78" s="29" cm="1">
        <f t="array" ref="J78">_xlfn.IFERROR(FIND(":",$D78),0)</f>
        <v>0</v>
      </c>
      <c r="K78" s="29" cm="1">
        <f t="array" ref="K78">_xlfn.IFERROR(FIND(":",$D78,$J78+1),0)</f>
        <v>0</v>
      </c>
      <c r="L78" t="str" s="30" cm="1">
        <f t="array" ref="L78">IF($D78="","",IF($I78=2,MID($D78,$K78+1,10),IF($I78=1,MID($D78,$J78+1,10),IF($I78=0,$D78,""))))</f>
      </c>
      <c r="M78" s="29" cm="1">
        <f t="array" ref="M78">IF($L78="",0,_xlfn.IFERROR(FIND(".",SUBSTITUTE($L78,",",".")),0))</f>
        <v>0</v>
      </c>
      <c r="N78" s="29" cm="1">
        <f t="array" ref="N78">IF($E78="",10^9,$E78)</f>
        <v>1000000000</v>
      </c>
      <c r="O78" t="str" s="30" cm="1">
        <f t="array" ref="O78">IF($E78="","",SUM($E$11:$E78))</f>
      </c>
      <c r="P78" t="str" s="30" cm="1">
        <f t="array" ref="P78">IF($E78="","",($D$6/$D$7+$O78)/COUNT($E$11:$E78))</f>
      </c>
      <c r="Q78" s="29" cm="1">
        <f t="array" ref="Q78">IF($E78="",0,IF(AND($E78&lt;$P78,OR($E79="",$P78&lt;=$E79)),1,0))</f>
        <v>0</v>
      </c>
      <c r="R78" s="27" cm="1">
        <f t="array" ref="R78">IF($V$4=0,"",ROUND($V$4,1)-10+(78-11)*0.1)</f>
        <v>3151.9</v>
      </c>
      <c r="S78" s="28">
        <v>4000</v>
      </c>
      <c r="T78" t="str" s="30" cm="1">
        <f t="array" ref="T78">IF($E78="","",ROUND($G78/$D$8,0)*$D$8)</f>
      </c>
      <c r="U78" s="14"/>
      <c r="V78" s="8"/>
    </row>
    <row r="79" ht="13.55" customHeight="1">
      <c r="A79" t="str" s="30" cm="1">
        <f t="array" ref="A79">IF($E79="","",COUNT($E$11:$E79))</f>
      </c>
      <c r="B79" s="39"/>
      <c r="C79" s="39"/>
      <c r="D79" s="39"/>
      <c r="E79" t="str" s="30" cm="1">
        <f t="array" ref="E79">IF($D79="","",_xlfn.IFERROR(IF($I79=-1,IF($D79&lt;0.5,$D79*86400,IF($D79&lt;100,$D79*1440,$D79)),IF($I79=2,VALUE(LEFT($D79,$J79-1))*3600+VALUE(MID($D79,$J79+1,$K79-$J79-1))*60,IF($I79=1,VALUE(LEFT($D79,$J79-1))*60,0))+IF($M79=0,VALUE($L79),VALUE(LEFT($L79,$M79-1))+VALUE(MID($L79,$M79+1,10))/10^(LEN($L79)-$M79))),""))</f>
      </c>
      <c r="F79" t="str" s="30" cm="1">
        <f t="array" ref="F79">IF($E79="","",MAX(0,$I$7-$E79))</f>
      </c>
      <c r="G79" t="str" s="30" cm="1">
        <f t="array" ref="G79">IF($E79="","",$F79*$D$7)</f>
      </c>
      <c r="H79" t="str" s="30" cm="1">
        <f t="array" ref="H79">IF($E79="","",$T79+IF(AND($V$6&gt;=$D$8,COUNT($E$11:$E79)=$V$7+1),$D$8,0))</f>
      </c>
      <c r="I79" t="str" s="30" cm="1">
        <f t="array" ref="I79">IF($D79="","",IF(ISTEXT($D79),LEN($D79)-LEN(SUBSTITUTE($D79,":","")),-1))</f>
      </c>
      <c r="J79" s="29" cm="1">
        <f t="array" ref="J79">_xlfn.IFERROR(FIND(":",$D79),0)</f>
        <v>0</v>
      </c>
      <c r="K79" s="29" cm="1">
        <f t="array" ref="K79">_xlfn.IFERROR(FIND(":",$D79,$J79+1),0)</f>
        <v>0</v>
      </c>
      <c r="L79" t="str" s="30" cm="1">
        <f t="array" ref="L79">IF($D79="","",IF($I79=2,MID($D79,$K79+1,10),IF($I79=1,MID($D79,$J79+1,10),IF($I79=0,$D79,""))))</f>
      </c>
      <c r="M79" s="29" cm="1">
        <f t="array" ref="M79">IF($L79="",0,_xlfn.IFERROR(FIND(".",SUBSTITUTE($L79,",",".")),0))</f>
        <v>0</v>
      </c>
      <c r="N79" s="29" cm="1">
        <f t="array" ref="N79">IF($E79="",10^9,$E79)</f>
        <v>1000000000</v>
      </c>
      <c r="O79" t="str" s="30" cm="1">
        <f t="array" ref="O79">IF($E79="","",SUM($E$11:$E79))</f>
      </c>
      <c r="P79" t="str" s="30" cm="1">
        <f t="array" ref="P79">IF($E79="","",($D$6/$D$7+$O79)/COUNT($E$11:$E79))</f>
      </c>
      <c r="Q79" s="29" cm="1">
        <f t="array" ref="Q79">IF($E79="",0,IF(AND($E79&lt;$P79,OR($E80="",$P79&lt;=$E80)),1,0))</f>
        <v>0</v>
      </c>
      <c r="R79" s="27" cm="1">
        <f t="array" ref="R79">IF($V$4=0,"",ROUND($V$4,1)-10+(79-11)*0.1)</f>
        <v>3152</v>
      </c>
      <c r="S79" s="28">
        <v>4000</v>
      </c>
      <c r="T79" t="str" s="30" cm="1">
        <f t="array" ref="T79">IF($E79="","",ROUND($G79/$D$8,0)*$D$8)</f>
      </c>
      <c r="U79" s="14"/>
      <c r="V79" s="8"/>
    </row>
    <row r="80" ht="13.55" customHeight="1">
      <c r="A80" t="str" s="30" cm="1">
        <f t="array" ref="A80">IF($E80="","",COUNT($E$11:$E80))</f>
      </c>
      <c r="B80" s="39"/>
      <c r="C80" s="39"/>
      <c r="D80" s="39"/>
      <c r="E80" t="str" s="30" cm="1">
        <f t="array" ref="E80">IF($D80="","",_xlfn.IFERROR(IF($I80=-1,IF($D80&lt;0.5,$D80*86400,IF($D80&lt;100,$D80*1440,$D80)),IF($I80=2,VALUE(LEFT($D80,$J80-1))*3600+VALUE(MID($D80,$J80+1,$K80-$J80-1))*60,IF($I80=1,VALUE(LEFT($D80,$J80-1))*60,0))+IF($M80=0,VALUE($L80),VALUE(LEFT($L80,$M80-1))+VALUE(MID($L80,$M80+1,10))/10^(LEN($L80)-$M80))),""))</f>
      </c>
      <c r="F80" t="str" s="30" cm="1">
        <f t="array" ref="F80">IF($E80="","",MAX(0,$I$7-$E80))</f>
      </c>
      <c r="G80" t="str" s="30" cm="1">
        <f t="array" ref="G80">IF($E80="","",$F80*$D$7)</f>
      </c>
      <c r="H80" t="str" s="30" cm="1">
        <f t="array" ref="H80">IF($E80="","",$T80+IF(AND($V$6&gt;=$D$8,COUNT($E$11:$E80)=$V$7+1),$D$8,0))</f>
      </c>
      <c r="I80" t="str" s="30" cm="1">
        <f t="array" ref="I80">IF($D80="","",IF(ISTEXT($D80),LEN($D80)-LEN(SUBSTITUTE($D80,":","")),-1))</f>
      </c>
      <c r="J80" s="29" cm="1">
        <f t="array" ref="J80">_xlfn.IFERROR(FIND(":",$D80),0)</f>
        <v>0</v>
      </c>
      <c r="K80" s="29" cm="1">
        <f t="array" ref="K80">_xlfn.IFERROR(FIND(":",$D80,$J80+1),0)</f>
        <v>0</v>
      </c>
      <c r="L80" t="str" s="30" cm="1">
        <f t="array" ref="L80">IF($D80="","",IF($I80=2,MID($D80,$K80+1,10),IF($I80=1,MID($D80,$J80+1,10),IF($I80=0,$D80,""))))</f>
      </c>
      <c r="M80" s="29" cm="1">
        <f t="array" ref="M80">IF($L80="",0,_xlfn.IFERROR(FIND(".",SUBSTITUTE($L80,",",".")),0))</f>
        <v>0</v>
      </c>
      <c r="N80" s="29" cm="1">
        <f t="array" ref="N80">IF($E80="",10^9,$E80)</f>
        <v>1000000000</v>
      </c>
      <c r="O80" t="str" s="30" cm="1">
        <f t="array" ref="O80">IF($E80="","",SUM($E$11:$E80))</f>
      </c>
      <c r="P80" t="str" s="30" cm="1">
        <f t="array" ref="P80">IF($E80="","",($D$6/$D$7+$O80)/COUNT($E$11:$E80))</f>
      </c>
      <c r="Q80" s="29" cm="1">
        <f t="array" ref="Q80">IF($E80="",0,IF(AND($E80&lt;$P80,OR($E81="",$P80&lt;=$E81)),1,0))</f>
        <v>0</v>
      </c>
      <c r="R80" s="27" cm="1">
        <f t="array" ref="R80">IF($V$4=0,"",ROUND($V$4,1)-10+(80-11)*0.1)</f>
        <v>3152.1</v>
      </c>
      <c r="S80" s="28">
        <v>4000</v>
      </c>
      <c r="T80" t="str" s="30" cm="1">
        <f t="array" ref="T80">IF($E80="","",ROUND($G80/$D$8,0)*$D$8)</f>
      </c>
      <c r="U80" s="14"/>
      <c r="V80" s="8"/>
    </row>
    <row r="81" ht="13.55" customHeight="1">
      <c r="A81" t="str" s="30" cm="1">
        <f t="array" ref="A81">IF($E81="","",COUNT($E$11:$E81))</f>
      </c>
      <c r="B81" s="39"/>
      <c r="C81" s="39"/>
      <c r="D81" s="39"/>
      <c r="E81" t="str" s="30" cm="1">
        <f t="array" ref="E81">IF($D81="","",_xlfn.IFERROR(IF($I81=-1,IF($D81&lt;0.5,$D81*86400,IF($D81&lt;100,$D81*1440,$D81)),IF($I81=2,VALUE(LEFT($D81,$J81-1))*3600+VALUE(MID($D81,$J81+1,$K81-$J81-1))*60,IF($I81=1,VALUE(LEFT($D81,$J81-1))*60,0))+IF($M81=0,VALUE($L81),VALUE(LEFT($L81,$M81-1))+VALUE(MID($L81,$M81+1,10))/10^(LEN($L81)-$M81))),""))</f>
      </c>
      <c r="F81" t="str" s="30" cm="1">
        <f t="array" ref="F81">IF($E81="","",MAX(0,$I$7-$E81))</f>
      </c>
      <c r="G81" t="str" s="30" cm="1">
        <f t="array" ref="G81">IF($E81="","",$F81*$D$7)</f>
      </c>
      <c r="H81" t="str" s="30" cm="1">
        <f t="array" ref="H81">IF($E81="","",$T81+IF(AND($V$6&gt;=$D$8,COUNT($E$11:$E81)=$V$7+1),$D$8,0))</f>
      </c>
      <c r="I81" t="str" s="30" cm="1">
        <f t="array" ref="I81">IF($D81="","",IF(ISTEXT($D81),LEN($D81)-LEN(SUBSTITUTE($D81,":","")),-1))</f>
      </c>
      <c r="J81" s="29" cm="1">
        <f t="array" ref="J81">_xlfn.IFERROR(FIND(":",$D81),0)</f>
        <v>0</v>
      </c>
      <c r="K81" s="29" cm="1">
        <f t="array" ref="K81">_xlfn.IFERROR(FIND(":",$D81,$J81+1),0)</f>
        <v>0</v>
      </c>
      <c r="L81" t="str" s="30" cm="1">
        <f t="array" ref="L81">IF($D81="","",IF($I81=2,MID($D81,$K81+1,10),IF($I81=1,MID($D81,$J81+1,10),IF($I81=0,$D81,""))))</f>
      </c>
      <c r="M81" s="29" cm="1">
        <f t="array" ref="M81">IF($L81="",0,_xlfn.IFERROR(FIND(".",SUBSTITUTE($L81,",",".")),0))</f>
        <v>0</v>
      </c>
      <c r="N81" s="29" cm="1">
        <f t="array" ref="N81">IF($E81="",10^9,$E81)</f>
        <v>1000000000</v>
      </c>
      <c r="O81" t="str" s="30" cm="1">
        <f t="array" ref="O81">IF($E81="","",SUM($E$11:$E81))</f>
      </c>
      <c r="P81" t="str" s="30" cm="1">
        <f t="array" ref="P81">IF($E81="","",($D$6/$D$7+$O81)/COUNT($E$11:$E81))</f>
      </c>
      <c r="Q81" s="29" cm="1">
        <f t="array" ref="Q81">IF($E81="",0,IF(AND($E81&lt;$P81,OR($E82="",$P81&lt;=$E82)),1,0))</f>
        <v>0</v>
      </c>
      <c r="R81" s="27" cm="1">
        <f t="array" ref="R81">IF($V$4=0,"",ROUND($V$4,1)-10+(81-11)*0.1)</f>
        <v>3152.2</v>
      </c>
      <c r="S81" s="28">
        <v>4000</v>
      </c>
      <c r="T81" t="str" s="30" cm="1">
        <f t="array" ref="T81">IF($E81="","",ROUND($G81/$D$8,0)*$D$8)</f>
      </c>
      <c r="U81" s="14"/>
      <c r="V81" s="8"/>
    </row>
    <row r="82" ht="13.55" customHeight="1">
      <c r="A82" t="str" s="30" cm="1">
        <f t="array" ref="A82">IF($E82="","",COUNT($E$11:$E82))</f>
      </c>
      <c r="B82" s="39"/>
      <c r="C82" s="39"/>
      <c r="D82" s="39"/>
      <c r="E82" t="str" s="30" cm="1">
        <f t="array" ref="E82">IF($D82="","",_xlfn.IFERROR(IF($I82=-1,IF($D82&lt;0.5,$D82*86400,IF($D82&lt;100,$D82*1440,$D82)),IF($I82=2,VALUE(LEFT($D82,$J82-1))*3600+VALUE(MID($D82,$J82+1,$K82-$J82-1))*60,IF($I82=1,VALUE(LEFT($D82,$J82-1))*60,0))+IF($M82=0,VALUE($L82),VALUE(LEFT($L82,$M82-1))+VALUE(MID($L82,$M82+1,10))/10^(LEN($L82)-$M82))),""))</f>
      </c>
      <c r="F82" t="str" s="30" cm="1">
        <f t="array" ref="F82">IF($E82="","",MAX(0,$I$7-$E82))</f>
      </c>
      <c r="G82" t="str" s="30" cm="1">
        <f t="array" ref="G82">IF($E82="","",$F82*$D$7)</f>
      </c>
      <c r="H82" t="str" s="30" cm="1">
        <f t="array" ref="H82">IF($E82="","",$T82+IF(AND($V$6&gt;=$D$8,COUNT($E$11:$E82)=$V$7+1),$D$8,0))</f>
      </c>
      <c r="I82" t="str" s="30" cm="1">
        <f t="array" ref="I82">IF($D82="","",IF(ISTEXT($D82),LEN($D82)-LEN(SUBSTITUTE($D82,":","")),-1))</f>
      </c>
      <c r="J82" s="29" cm="1">
        <f t="array" ref="J82">_xlfn.IFERROR(FIND(":",$D82),0)</f>
        <v>0</v>
      </c>
      <c r="K82" s="29" cm="1">
        <f t="array" ref="K82">_xlfn.IFERROR(FIND(":",$D82,$J82+1),0)</f>
        <v>0</v>
      </c>
      <c r="L82" t="str" s="30" cm="1">
        <f t="array" ref="L82">IF($D82="","",IF($I82=2,MID($D82,$K82+1,10),IF($I82=1,MID($D82,$J82+1,10),IF($I82=0,$D82,""))))</f>
      </c>
      <c r="M82" s="29" cm="1">
        <f t="array" ref="M82">IF($L82="",0,_xlfn.IFERROR(FIND(".",SUBSTITUTE($L82,",",".")),0))</f>
        <v>0</v>
      </c>
      <c r="N82" s="29" cm="1">
        <f t="array" ref="N82">IF($E82="",10^9,$E82)</f>
        <v>1000000000</v>
      </c>
      <c r="O82" t="str" s="30" cm="1">
        <f t="array" ref="O82">IF($E82="","",SUM($E$11:$E82))</f>
      </c>
      <c r="P82" t="str" s="30" cm="1">
        <f t="array" ref="P82">IF($E82="","",($D$6/$D$7+$O82)/COUNT($E$11:$E82))</f>
      </c>
      <c r="Q82" s="29" cm="1">
        <f t="array" ref="Q82">IF($E82="",0,IF(AND($E82&lt;$P82,OR($E83="",$P82&lt;=$E83)),1,0))</f>
        <v>0</v>
      </c>
      <c r="R82" s="27" cm="1">
        <f t="array" ref="R82">IF($V$4=0,"",ROUND($V$4,1)-10+(82-11)*0.1)</f>
        <v>3152.3</v>
      </c>
      <c r="S82" s="28">
        <v>4000</v>
      </c>
      <c r="T82" t="str" s="30" cm="1">
        <f t="array" ref="T82">IF($E82="","",ROUND($G82/$D$8,0)*$D$8)</f>
      </c>
      <c r="U82" s="14"/>
      <c r="V82" s="8"/>
    </row>
    <row r="83" ht="13.55" customHeight="1">
      <c r="A83" t="str" s="30" cm="1">
        <f t="array" ref="A83">IF($E83="","",COUNT($E$11:$E83))</f>
      </c>
      <c r="B83" s="39"/>
      <c r="C83" s="39"/>
      <c r="D83" s="39"/>
      <c r="E83" t="str" s="30" cm="1">
        <f t="array" ref="E83">IF($D83="","",_xlfn.IFERROR(IF($I83=-1,IF($D83&lt;0.5,$D83*86400,IF($D83&lt;100,$D83*1440,$D83)),IF($I83=2,VALUE(LEFT($D83,$J83-1))*3600+VALUE(MID($D83,$J83+1,$K83-$J83-1))*60,IF($I83=1,VALUE(LEFT($D83,$J83-1))*60,0))+IF($M83=0,VALUE($L83),VALUE(LEFT($L83,$M83-1))+VALUE(MID($L83,$M83+1,10))/10^(LEN($L83)-$M83))),""))</f>
      </c>
      <c r="F83" t="str" s="30" cm="1">
        <f t="array" ref="F83">IF($E83="","",MAX(0,$I$7-$E83))</f>
      </c>
      <c r="G83" t="str" s="30" cm="1">
        <f t="array" ref="G83">IF($E83="","",$F83*$D$7)</f>
      </c>
      <c r="H83" t="str" s="30" cm="1">
        <f t="array" ref="H83">IF($E83="","",$T83+IF(AND($V$6&gt;=$D$8,COUNT($E$11:$E83)=$V$7+1),$D$8,0))</f>
      </c>
      <c r="I83" t="str" s="30" cm="1">
        <f t="array" ref="I83">IF($D83="","",IF(ISTEXT($D83),LEN($D83)-LEN(SUBSTITUTE($D83,":","")),-1))</f>
      </c>
      <c r="J83" s="29" cm="1">
        <f t="array" ref="J83">_xlfn.IFERROR(FIND(":",$D83),0)</f>
        <v>0</v>
      </c>
      <c r="K83" s="29" cm="1">
        <f t="array" ref="K83">_xlfn.IFERROR(FIND(":",$D83,$J83+1),0)</f>
        <v>0</v>
      </c>
      <c r="L83" t="str" s="30" cm="1">
        <f t="array" ref="L83">IF($D83="","",IF($I83=2,MID($D83,$K83+1,10),IF($I83=1,MID($D83,$J83+1,10),IF($I83=0,$D83,""))))</f>
      </c>
      <c r="M83" s="29" cm="1">
        <f t="array" ref="M83">IF($L83="",0,_xlfn.IFERROR(FIND(".",SUBSTITUTE($L83,",",".")),0))</f>
        <v>0</v>
      </c>
      <c r="N83" s="29" cm="1">
        <f t="array" ref="N83">IF($E83="",10^9,$E83)</f>
        <v>1000000000</v>
      </c>
      <c r="O83" t="str" s="30" cm="1">
        <f t="array" ref="O83">IF($E83="","",SUM($E$11:$E83))</f>
      </c>
      <c r="P83" t="str" s="30" cm="1">
        <f t="array" ref="P83">IF($E83="","",($D$6/$D$7+$O83)/COUNT($E$11:$E83))</f>
      </c>
      <c r="Q83" s="29" cm="1">
        <f t="array" ref="Q83">IF($E83="",0,IF(AND($E83&lt;$P83,OR($E84="",$P83&lt;=$E84)),1,0))</f>
        <v>0</v>
      </c>
      <c r="R83" s="27" cm="1">
        <f t="array" ref="R83">IF($V$4=0,"",ROUND($V$4,1)-10+(83-11)*0.1)</f>
        <v>3152.4</v>
      </c>
      <c r="S83" s="28">
        <v>4000</v>
      </c>
      <c r="T83" t="str" s="30" cm="1">
        <f t="array" ref="T83">IF($E83="","",ROUND($G83/$D$8,0)*$D$8)</f>
      </c>
      <c r="U83" s="14"/>
      <c r="V83" s="8"/>
    </row>
    <row r="84" ht="13.55" customHeight="1">
      <c r="A84" t="str" s="30" cm="1">
        <f t="array" ref="A84">IF($E84="","",COUNT($E$11:$E84))</f>
      </c>
      <c r="B84" s="39"/>
      <c r="C84" s="39"/>
      <c r="D84" s="39"/>
      <c r="E84" t="str" s="30" cm="1">
        <f t="array" ref="E84">IF($D84="","",_xlfn.IFERROR(IF($I84=-1,IF($D84&lt;0.5,$D84*86400,IF($D84&lt;100,$D84*1440,$D84)),IF($I84=2,VALUE(LEFT($D84,$J84-1))*3600+VALUE(MID($D84,$J84+1,$K84-$J84-1))*60,IF($I84=1,VALUE(LEFT($D84,$J84-1))*60,0))+IF($M84=0,VALUE($L84),VALUE(LEFT($L84,$M84-1))+VALUE(MID($L84,$M84+1,10))/10^(LEN($L84)-$M84))),""))</f>
      </c>
      <c r="F84" t="str" s="30" cm="1">
        <f t="array" ref="F84">IF($E84="","",MAX(0,$I$7-$E84))</f>
      </c>
      <c r="G84" t="str" s="30" cm="1">
        <f t="array" ref="G84">IF($E84="","",$F84*$D$7)</f>
      </c>
      <c r="H84" t="str" s="30" cm="1">
        <f t="array" ref="H84">IF($E84="","",$T84+IF(AND($V$6&gt;=$D$8,COUNT($E$11:$E84)=$V$7+1),$D$8,0))</f>
      </c>
      <c r="I84" t="str" s="30" cm="1">
        <f t="array" ref="I84">IF($D84="","",IF(ISTEXT($D84),LEN($D84)-LEN(SUBSTITUTE($D84,":","")),-1))</f>
      </c>
      <c r="J84" s="29" cm="1">
        <f t="array" ref="J84">_xlfn.IFERROR(FIND(":",$D84),0)</f>
        <v>0</v>
      </c>
      <c r="K84" s="29" cm="1">
        <f t="array" ref="K84">_xlfn.IFERROR(FIND(":",$D84,$J84+1),0)</f>
        <v>0</v>
      </c>
      <c r="L84" t="str" s="30" cm="1">
        <f t="array" ref="L84">IF($D84="","",IF($I84=2,MID($D84,$K84+1,10),IF($I84=1,MID($D84,$J84+1,10),IF($I84=0,$D84,""))))</f>
      </c>
      <c r="M84" s="29" cm="1">
        <f t="array" ref="M84">IF($L84="",0,_xlfn.IFERROR(FIND(".",SUBSTITUTE($L84,",",".")),0))</f>
        <v>0</v>
      </c>
      <c r="N84" s="29" cm="1">
        <f t="array" ref="N84">IF($E84="",10^9,$E84)</f>
        <v>1000000000</v>
      </c>
      <c r="O84" t="str" s="30" cm="1">
        <f t="array" ref="O84">IF($E84="","",SUM($E$11:$E84))</f>
      </c>
      <c r="P84" t="str" s="30" cm="1">
        <f t="array" ref="P84">IF($E84="","",($D$6/$D$7+$O84)/COUNT($E$11:$E84))</f>
      </c>
      <c r="Q84" s="29" cm="1">
        <f t="array" ref="Q84">IF($E84="",0,IF(AND($E84&lt;$P84,OR($E85="",$P84&lt;=$E85)),1,0))</f>
        <v>0</v>
      </c>
      <c r="R84" s="27" cm="1">
        <f t="array" ref="R84">IF($V$4=0,"",ROUND($V$4,1)-10+(84-11)*0.1)</f>
        <v>3152.5</v>
      </c>
      <c r="S84" s="28">
        <v>4000</v>
      </c>
      <c r="T84" t="str" s="30" cm="1">
        <f t="array" ref="T84">IF($E84="","",ROUND($G84/$D$8,0)*$D$8)</f>
      </c>
      <c r="U84" s="14"/>
      <c r="V84" s="8"/>
    </row>
    <row r="85" ht="13.55" customHeight="1">
      <c r="A85" t="str" s="30" cm="1">
        <f t="array" ref="A85">IF($E85="","",COUNT($E$11:$E85))</f>
      </c>
      <c r="B85" s="39"/>
      <c r="C85" s="39"/>
      <c r="D85" s="39"/>
      <c r="E85" t="str" s="30" cm="1">
        <f t="array" ref="E85">IF($D85="","",_xlfn.IFERROR(IF($I85=-1,IF($D85&lt;0.5,$D85*86400,IF($D85&lt;100,$D85*1440,$D85)),IF($I85=2,VALUE(LEFT($D85,$J85-1))*3600+VALUE(MID($D85,$J85+1,$K85-$J85-1))*60,IF($I85=1,VALUE(LEFT($D85,$J85-1))*60,0))+IF($M85=0,VALUE($L85),VALUE(LEFT($L85,$M85-1))+VALUE(MID($L85,$M85+1,10))/10^(LEN($L85)-$M85))),""))</f>
      </c>
      <c r="F85" t="str" s="30" cm="1">
        <f t="array" ref="F85">IF($E85="","",MAX(0,$I$7-$E85))</f>
      </c>
      <c r="G85" t="str" s="30" cm="1">
        <f t="array" ref="G85">IF($E85="","",$F85*$D$7)</f>
      </c>
      <c r="H85" t="str" s="30" cm="1">
        <f t="array" ref="H85">IF($E85="","",$T85+IF(AND($V$6&gt;=$D$8,COUNT($E$11:$E85)=$V$7+1),$D$8,0))</f>
      </c>
      <c r="I85" t="str" s="30" cm="1">
        <f t="array" ref="I85">IF($D85="","",IF(ISTEXT($D85),LEN($D85)-LEN(SUBSTITUTE($D85,":","")),-1))</f>
      </c>
      <c r="J85" s="29" cm="1">
        <f t="array" ref="J85">_xlfn.IFERROR(FIND(":",$D85),0)</f>
        <v>0</v>
      </c>
      <c r="K85" s="29" cm="1">
        <f t="array" ref="K85">_xlfn.IFERROR(FIND(":",$D85,$J85+1),0)</f>
        <v>0</v>
      </c>
      <c r="L85" t="str" s="30" cm="1">
        <f t="array" ref="L85">IF($D85="","",IF($I85=2,MID($D85,$K85+1,10),IF($I85=1,MID($D85,$J85+1,10),IF($I85=0,$D85,""))))</f>
      </c>
      <c r="M85" s="29" cm="1">
        <f t="array" ref="M85">IF($L85="",0,_xlfn.IFERROR(FIND(".",SUBSTITUTE($L85,",",".")),0))</f>
        <v>0</v>
      </c>
      <c r="N85" s="29" cm="1">
        <f t="array" ref="N85">IF($E85="",10^9,$E85)</f>
        <v>1000000000</v>
      </c>
      <c r="O85" t="str" s="30" cm="1">
        <f t="array" ref="O85">IF($E85="","",SUM($E$11:$E85))</f>
      </c>
      <c r="P85" t="str" s="30" cm="1">
        <f t="array" ref="P85">IF($E85="","",($D$6/$D$7+$O85)/COUNT($E$11:$E85))</f>
      </c>
      <c r="Q85" s="29" cm="1">
        <f t="array" ref="Q85">IF($E85="",0,IF(AND($E85&lt;$P85,OR($E86="",$P85&lt;=$E86)),1,0))</f>
        <v>0</v>
      </c>
      <c r="R85" s="27" cm="1">
        <f t="array" ref="R85">IF($V$4=0,"",ROUND($V$4,1)-10+(85-11)*0.1)</f>
        <v>3152.6</v>
      </c>
      <c r="S85" s="28">
        <v>4000</v>
      </c>
      <c r="T85" t="str" s="30" cm="1">
        <f t="array" ref="T85">IF($E85="","",ROUND($G85/$D$8,0)*$D$8)</f>
      </c>
      <c r="U85" s="14"/>
      <c r="V85" s="8"/>
    </row>
    <row r="86" ht="13.55" customHeight="1">
      <c r="A86" t="str" s="30" cm="1">
        <f t="array" ref="A86">IF($E86="","",COUNT($E$11:$E86))</f>
      </c>
      <c r="B86" s="39"/>
      <c r="C86" s="39"/>
      <c r="D86" s="39"/>
      <c r="E86" t="str" s="30" cm="1">
        <f t="array" ref="E86">IF($D86="","",_xlfn.IFERROR(IF($I86=-1,IF($D86&lt;0.5,$D86*86400,IF($D86&lt;100,$D86*1440,$D86)),IF($I86=2,VALUE(LEFT($D86,$J86-1))*3600+VALUE(MID($D86,$J86+1,$K86-$J86-1))*60,IF($I86=1,VALUE(LEFT($D86,$J86-1))*60,0))+IF($M86=0,VALUE($L86),VALUE(LEFT($L86,$M86-1))+VALUE(MID($L86,$M86+1,10))/10^(LEN($L86)-$M86))),""))</f>
      </c>
      <c r="F86" t="str" s="30" cm="1">
        <f t="array" ref="F86">IF($E86="","",MAX(0,$I$7-$E86))</f>
      </c>
      <c r="G86" t="str" s="30" cm="1">
        <f t="array" ref="G86">IF($E86="","",$F86*$D$7)</f>
      </c>
      <c r="H86" t="str" s="30" cm="1">
        <f t="array" ref="H86">IF($E86="","",$T86+IF(AND($V$6&gt;=$D$8,COUNT($E$11:$E86)=$V$7+1),$D$8,0))</f>
      </c>
      <c r="I86" t="str" s="30" cm="1">
        <f t="array" ref="I86">IF($D86="","",IF(ISTEXT($D86),LEN($D86)-LEN(SUBSTITUTE($D86,":","")),-1))</f>
      </c>
      <c r="J86" s="29" cm="1">
        <f t="array" ref="J86">_xlfn.IFERROR(FIND(":",$D86),0)</f>
        <v>0</v>
      </c>
      <c r="K86" s="29" cm="1">
        <f t="array" ref="K86">_xlfn.IFERROR(FIND(":",$D86,$J86+1),0)</f>
        <v>0</v>
      </c>
      <c r="L86" t="str" s="30" cm="1">
        <f t="array" ref="L86">IF($D86="","",IF($I86=2,MID($D86,$K86+1,10),IF($I86=1,MID($D86,$J86+1,10),IF($I86=0,$D86,""))))</f>
      </c>
      <c r="M86" s="29" cm="1">
        <f t="array" ref="M86">IF($L86="",0,_xlfn.IFERROR(FIND(".",SUBSTITUTE($L86,",",".")),0))</f>
        <v>0</v>
      </c>
      <c r="N86" s="29" cm="1">
        <f t="array" ref="N86">IF($E86="",10^9,$E86)</f>
        <v>1000000000</v>
      </c>
      <c r="O86" t="str" s="30" cm="1">
        <f t="array" ref="O86">IF($E86="","",SUM($E$11:$E86))</f>
      </c>
      <c r="P86" t="str" s="30" cm="1">
        <f t="array" ref="P86">IF($E86="","",($D$6/$D$7+$O86)/COUNT($E$11:$E86))</f>
      </c>
      <c r="Q86" s="29" cm="1">
        <f t="array" ref="Q86">IF($E86="",0,IF(AND($E86&lt;$P86,OR($E87="",$P86&lt;=$E87)),1,0))</f>
        <v>0</v>
      </c>
      <c r="R86" s="27" cm="1">
        <f t="array" ref="R86">IF($V$4=0,"",ROUND($V$4,1)-10+(86-11)*0.1)</f>
        <v>3152.7</v>
      </c>
      <c r="S86" s="28">
        <v>4000</v>
      </c>
      <c r="T86" t="str" s="30" cm="1">
        <f t="array" ref="T86">IF($E86="","",ROUND($G86/$D$8,0)*$D$8)</f>
      </c>
      <c r="U86" s="14"/>
      <c r="V86" s="8"/>
    </row>
    <row r="87" ht="13.55" customHeight="1">
      <c r="A87" t="str" s="30" cm="1">
        <f t="array" ref="A87">IF($E87="","",COUNT($E$11:$E87))</f>
      </c>
      <c r="B87" s="39"/>
      <c r="C87" s="39"/>
      <c r="D87" s="39"/>
      <c r="E87" t="str" s="30" cm="1">
        <f t="array" ref="E87">IF($D87="","",_xlfn.IFERROR(IF($I87=-1,IF($D87&lt;0.5,$D87*86400,IF($D87&lt;100,$D87*1440,$D87)),IF($I87=2,VALUE(LEFT($D87,$J87-1))*3600+VALUE(MID($D87,$J87+1,$K87-$J87-1))*60,IF($I87=1,VALUE(LEFT($D87,$J87-1))*60,0))+IF($M87=0,VALUE($L87),VALUE(LEFT($L87,$M87-1))+VALUE(MID($L87,$M87+1,10))/10^(LEN($L87)-$M87))),""))</f>
      </c>
      <c r="F87" t="str" s="30" cm="1">
        <f t="array" ref="F87">IF($E87="","",MAX(0,$I$7-$E87))</f>
      </c>
      <c r="G87" t="str" s="30" cm="1">
        <f t="array" ref="G87">IF($E87="","",$F87*$D$7)</f>
      </c>
      <c r="H87" t="str" s="30" cm="1">
        <f t="array" ref="H87">IF($E87="","",$T87+IF(AND($V$6&gt;=$D$8,COUNT($E$11:$E87)=$V$7+1),$D$8,0))</f>
      </c>
      <c r="I87" t="str" s="30" cm="1">
        <f t="array" ref="I87">IF($D87="","",IF(ISTEXT($D87),LEN($D87)-LEN(SUBSTITUTE($D87,":","")),-1))</f>
      </c>
      <c r="J87" s="29" cm="1">
        <f t="array" ref="J87">_xlfn.IFERROR(FIND(":",$D87),0)</f>
        <v>0</v>
      </c>
      <c r="K87" s="29" cm="1">
        <f t="array" ref="K87">_xlfn.IFERROR(FIND(":",$D87,$J87+1),0)</f>
        <v>0</v>
      </c>
      <c r="L87" t="str" s="30" cm="1">
        <f t="array" ref="L87">IF($D87="","",IF($I87=2,MID($D87,$K87+1,10),IF($I87=1,MID($D87,$J87+1,10),IF($I87=0,$D87,""))))</f>
      </c>
      <c r="M87" s="29" cm="1">
        <f t="array" ref="M87">IF($L87="",0,_xlfn.IFERROR(FIND(".",SUBSTITUTE($L87,",",".")),0))</f>
        <v>0</v>
      </c>
      <c r="N87" s="29" cm="1">
        <f t="array" ref="N87">IF($E87="",10^9,$E87)</f>
        <v>1000000000</v>
      </c>
      <c r="O87" t="str" s="30" cm="1">
        <f t="array" ref="O87">IF($E87="","",SUM($E$11:$E87))</f>
      </c>
      <c r="P87" t="str" s="30" cm="1">
        <f t="array" ref="P87">IF($E87="","",($D$6/$D$7+$O87)/COUNT($E$11:$E87))</f>
      </c>
      <c r="Q87" s="29" cm="1">
        <f t="array" ref="Q87">IF($E87="",0,IF(AND($E87&lt;$P87,OR($E88="",$P87&lt;=$E88)),1,0))</f>
        <v>0</v>
      </c>
      <c r="R87" s="27" cm="1">
        <f t="array" ref="R87">IF($V$4=0,"",ROUND($V$4,1)-10+(87-11)*0.1)</f>
        <v>3152.8</v>
      </c>
      <c r="S87" s="28">
        <v>4000</v>
      </c>
      <c r="T87" t="str" s="30" cm="1">
        <f t="array" ref="T87">IF($E87="","",ROUND($G87/$D$8,0)*$D$8)</f>
      </c>
      <c r="U87" s="14"/>
      <c r="V87" s="8"/>
    </row>
    <row r="88" ht="13.55" customHeight="1">
      <c r="A88" t="str" s="30" cm="1">
        <f t="array" ref="A88">IF($E88="","",COUNT($E$11:$E88))</f>
      </c>
      <c r="B88" s="39"/>
      <c r="C88" s="39"/>
      <c r="D88" s="39"/>
      <c r="E88" t="str" s="30" cm="1">
        <f t="array" ref="E88">IF($D88="","",_xlfn.IFERROR(IF($I88=-1,IF($D88&lt;0.5,$D88*86400,IF($D88&lt;100,$D88*1440,$D88)),IF($I88=2,VALUE(LEFT($D88,$J88-1))*3600+VALUE(MID($D88,$J88+1,$K88-$J88-1))*60,IF($I88=1,VALUE(LEFT($D88,$J88-1))*60,0))+IF($M88=0,VALUE($L88),VALUE(LEFT($L88,$M88-1))+VALUE(MID($L88,$M88+1,10))/10^(LEN($L88)-$M88))),""))</f>
      </c>
      <c r="F88" t="str" s="30" cm="1">
        <f t="array" ref="F88">IF($E88="","",MAX(0,$I$7-$E88))</f>
      </c>
      <c r="G88" t="str" s="30" cm="1">
        <f t="array" ref="G88">IF($E88="","",$F88*$D$7)</f>
      </c>
      <c r="H88" t="str" s="30" cm="1">
        <f t="array" ref="H88">IF($E88="","",$T88+IF(AND($V$6&gt;=$D$8,COUNT($E$11:$E88)=$V$7+1),$D$8,0))</f>
      </c>
      <c r="I88" t="str" s="30" cm="1">
        <f t="array" ref="I88">IF($D88="","",IF(ISTEXT($D88),LEN($D88)-LEN(SUBSTITUTE($D88,":","")),-1))</f>
      </c>
      <c r="J88" s="29" cm="1">
        <f t="array" ref="J88">_xlfn.IFERROR(FIND(":",$D88),0)</f>
        <v>0</v>
      </c>
      <c r="K88" s="29" cm="1">
        <f t="array" ref="K88">_xlfn.IFERROR(FIND(":",$D88,$J88+1),0)</f>
        <v>0</v>
      </c>
      <c r="L88" t="str" s="30" cm="1">
        <f t="array" ref="L88">IF($D88="","",IF($I88=2,MID($D88,$K88+1,10),IF($I88=1,MID($D88,$J88+1,10),IF($I88=0,$D88,""))))</f>
      </c>
      <c r="M88" s="29" cm="1">
        <f t="array" ref="M88">IF($L88="",0,_xlfn.IFERROR(FIND(".",SUBSTITUTE($L88,",",".")),0))</f>
        <v>0</v>
      </c>
      <c r="N88" s="29" cm="1">
        <f t="array" ref="N88">IF($E88="",10^9,$E88)</f>
        <v>1000000000</v>
      </c>
      <c r="O88" t="str" s="30" cm="1">
        <f t="array" ref="O88">IF($E88="","",SUM($E$11:$E88))</f>
      </c>
      <c r="P88" t="str" s="30" cm="1">
        <f t="array" ref="P88">IF($E88="","",($D$6/$D$7+$O88)/COUNT($E$11:$E88))</f>
      </c>
      <c r="Q88" s="29" cm="1">
        <f t="array" ref="Q88">IF($E88="",0,IF(AND($E88&lt;$P88,OR($E89="",$P88&lt;=$E89)),1,0))</f>
        <v>0</v>
      </c>
      <c r="R88" s="27" cm="1">
        <f t="array" ref="R88">IF($V$4=0,"",ROUND($V$4,1)-10+(88-11)*0.1)</f>
        <v>3152.9</v>
      </c>
      <c r="S88" s="28">
        <v>4000</v>
      </c>
      <c r="T88" t="str" s="30" cm="1">
        <f t="array" ref="T88">IF($E88="","",ROUND($G88/$D$8,0)*$D$8)</f>
      </c>
      <c r="U88" s="14"/>
      <c r="V88" s="8"/>
    </row>
    <row r="89" ht="13.55" customHeight="1">
      <c r="A89" t="str" s="30" cm="1">
        <f t="array" ref="A89">IF($E89="","",COUNT($E$11:$E89))</f>
      </c>
      <c r="B89" s="39"/>
      <c r="C89" s="39"/>
      <c r="D89" s="39"/>
      <c r="E89" t="str" s="30" cm="1">
        <f t="array" ref="E89">IF($D89="","",_xlfn.IFERROR(IF($I89=-1,IF($D89&lt;0.5,$D89*86400,IF($D89&lt;100,$D89*1440,$D89)),IF($I89=2,VALUE(LEFT($D89,$J89-1))*3600+VALUE(MID($D89,$J89+1,$K89-$J89-1))*60,IF($I89=1,VALUE(LEFT($D89,$J89-1))*60,0))+IF($M89=0,VALUE($L89),VALUE(LEFT($L89,$M89-1))+VALUE(MID($L89,$M89+1,10))/10^(LEN($L89)-$M89))),""))</f>
      </c>
      <c r="F89" t="str" s="30" cm="1">
        <f t="array" ref="F89">IF($E89="","",MAX(0,$I$7-$E89))</f>
      </c>
      <c r="G89" t="str" s="30" cm="1">
        <f t="array" ref="G89">IF($E89="","",$F89*$D$7)</f>
      </c>
      <c r="H89" t="str" s="30" cm="1">
        <f t="array" ref="H89">IF($E89="","",$T89+IF(AND($V$6&gt;=$D$8,COUNT($E$11:$E89)=$V$7+1),$D$8,0))</f>
      </c>
      <c r="I89" t="str" s="30" cm="1">
        <f t="array" ref="I89">IF($D89="","",IF(ISTEXT($D89),LEN($D89)-LEN(SUBSTITUTE($D89,":","")),-1))</f>
      </c>
      <c r="J89" s="29" cm="1">
        <f t="array" ref="J89">_xlfn.IFERROR(FIND(":",$D89),0)</f>
        <v>0</v>
      </c>
      <c r="K89" s="29" cm="1">
        <f t="array" ref="K89">_xlfn.IFERROR(FIND(":",$D89,$J89+1),0)</f>
        <v>0</v>
      </c>
      <c r="L89" t="str" s="30" cm="1">
        <f t="array" ref="L89">IF($D89="","",IF($I89=2,MID($D89,$K89+1,10),IF($I89=1,MID($D89,$J89+1,10),IF($I89=0,$D89,""))))</f>
      </c>
      <c r="M89" s="29" cm="1">
        <f t="array" ref="M89">IF($L89="",0,_xlfn.IFERROR(FIND(".",SUBSTITUTE($L89,",",".")),0))</f>
        <v>0</v>
      </c>
      <c r="N89" s="29" cm="1">
        <f t="array" ref="N89">IF($E89="",10^9,$E89)</f>
        <v>1000000000</v>
      </c>
      <c r="O89" t="str" s="30" cm="1">
        <f t="array" ref="O89">IF($E89="","",SUM($E$11:$E89))</f>
      </c>
      <c r="P89" t="str" s="30" cm="1">
        <f t="array" ref="P89">IF($E89="","",($D$6/$D$7+$O89)/COUNT($E$11:$E89))</f>
      </c>
      <c r="Q89" s="29" cm="1">
        <f t="array" ref="Q89">IF($E89="",0,IF(AND($E89&lt;$P89,OR($E90="",$P89&lt;=$E90)),1,0))</f>
        <v>0</v>
      </c>
      <c r="R89" s="27" cm="1">
        <f t="array" ref="R89">IF($V$4=0,"",ROUND($V$4,1)-10+(89-11)*0.1)</f>
        <v>3153</v>
      </c>
      <c r="S89" s="28">
        <v>4000</v>
      </c>
      <c r="T89" t="str" s="30" cm="1">
        <f t="array" ref="T89">IF($E89="","",ROUND($G89/$D$8,0)*$D$8)</f>
      </c>
      <c r="U89" s="14"/>
      <c r="V89" s="8"/>
    </row>
    <row r="90" ht="13.55" customHeight="1">
      <c r="A90" t="str" s="30" cm="1">
        <f t="array" ref="A90">IF($E90="","",COUNT($E$11:$E90))</f>
      </c>
      <c r="B90" s="39"/>
      <c r="C90" s="39"/>
      <c r="D90" s="39"/>
      <c r="E90" t="str" s="30" cm="1">
        <f t="array" ref="E90">IF($D90="","",_xlfn.IFERROR(IF($I90=-1,IF($D90&lt;0.5,$D90*86400,IF($D90&lt;100,$D90*1440,$D90)),IF($I90=2,VALUE(LEFT($D90,$J90-1))*3600+VALUE(MID($D90,$J90+1,$K90-$J90-1))*60,IF($I90=1,VALUE(LEFT($D90,$J90-1))*60,0))+IF($M90=0,VALUE($L90),VALUE(LEFT($L90,$M90-1))+VALUE(MID($L90,$M90+1,10))/10^(LEN($L90)-$M90))),""))</f>
      </c>
      <c r="F90" t="str" s="30" cm="1">
        <f t="array" ref="F90">IF($E90="","",MAX(0,$I$7-$E90))</f>
      </c>
      <c r="G90" t="str" s="30" cm="1">
        <f t="array" ref="G90">IF($E90="","",$F90*$D$7)</f>
      </c>
      <c r="H90" t="str" s="30" cm="1">
        <f t="array" ref="H90">IF($E90="","",$T90+IF(AND($V$6&gt;=$D$8,COUNT($E$11:$E90)=$V$7+1),$D$8,0))</f>
      </c>
      <c r="I90" t="str" s="30" cm="1">
        <f t="array" ref="I90">IF($D90="","",IF(ISTEXT($D90),LEN($D90)-LEN(SUBSTITUTE($D90,":","")),-1))</f>
      </c>
      <c r="J90" s="29" cm="1">
        <f t="array" ref="J90">_xlfn.IFERROR(FIND(":",$D90),0)</f>
        <v>0</v>
      </c>
      <c r="K90" s="29" cm="1">
        <f t="array" ref="K90">_xlfn.IFERROR(FIND(":",$D90,$J90+1),0)</f>
        <v>0</v>
      </c>
      <c r="L90" t="str" s="30" cm="1">
        <f t="array" ref="L90">IF($D90="","",IF($I90=2,MID($D90,$K90+1,10),IF($I90=1,MID($D90,$J90+1,10),IF($I90=0,$D90,""))))</f>
      </c>
      <c r="M90" s="29" cm="1">
        <f t="array" ref="M90">IF($L90="",0,_xlfn.IFERROR(FIND(".",SUBSTITUTE($L90,",",".")),0))</f>
        <v>0</v>
      </c>
      <c r="N90" s="29" cm="1">
        <f t="array" ref="N90">IF($E90="",10^9,$E90)</f>
        <v>1000000000</v>
      </c>
      <c r="O90" t="str" s="30" cm="1">
        <f t="array" ref="O90">IF($E90="","",SUM($E$11:$E90))</f>
      </c>
      <c r="P90" t="str" s="30" cm="1">
        <f t="array" ref="P90">IF($E90="","",($D$6/$D$7+$O90)/COUNT($E$11:$E90))</f>
      </c>
      <c r="Q90" s="29" cm="1">
        <f t="array" ref="Q90">IF($E90="",0,IF(AND($E90&lt;$P90,OR($E91="",$P90&lt;=$E91)),1,0))</f>
        <v>0</v>
      </c>
      <c r="R90" s="27" cm="1">
        <f t="array" ref="R90">IF($V$4=0,"",ROUND($V$4,1)-10+(90-11)*0.1)</f>
        <v>3153.1</v>
      </c>
      <c r="S90" s="28">
        <v>4000</v>
      </c>
      <c r="T90" t="str" s="30" cm="1">
        <f t="array" ref="T90">IF($E90="","",ROUND($G90/$D$8,0)*$D$8)</f>
      </c>
      <c r="U90" s="14"/>
      <c r="V90" s="8"/>
    </row>
    <row r="91" ht="13.55" customHeight="1">
      <c r="A91" t="str" s="30" cm="1">
        <f t="array" ref="A91">IF($E91="","",COUNT($E$11:$E91))</f>
      </c>
      <c r="B91" s="39"/>
      <c r="C91" s="39"/>
      <c r="D91" s="39"/>
      <c r="E91" t="str" s="30" cm="1">
        <f t="array" ref="E91">IF($D91="","",_xlfn.IFERROR(IF($I91=-1,IF($D91&lt;0.5,$D91*86400,IF($D91&lt;100,$D91*1440,$D91)),IF($I91=2,VALUE(LEFT($D91,$J91-1))*3600+VALUE(MID($D91,$J91+1,$K91-$J91-1))*60,IF($I91=1,VALUE(LEFT($D91,$J91-1))*60,0))+IF($M91=0,VALUE($L91),VALUE(LEFT($L91,$M91-1))+VALUE(MID($L91,$M91+1,10))/10^(LEN($L91)-$M91))),""))</f>
      </c>
      <c r="F91" t="str" s="30" cm="1">
        <f t="array" ref="F91">IF($E91="","",MAX(0,$I$7-$E91))</f>
      </c>
      <c r="G91" t="str" s="30" cm="1">
        <f t="array" ref="G91">IF($E91="","",$F91*$D$7)</f>
      </c>
      <c r="H91" t="str" s="30" cm="1">
        <f t="array" ref="H91">IF($E91="","",$T91+IF(AND($V$6&gt;=$D$8,COUNT($E$11:$E91)=$V$7+1),$D$8,0))</f>
      </c>
      <c r="I91" t="str" s="30" cm="1">
        <f t="array" ref="I91">IF($D91="","",IF(ISTEXT($D91),LEN($D91)-LEN(SUBSTITUTE($D91,":","")),-1))</f>
      </c>
      <c r="J91" s="29" cm="1">
        <f t="array" ref="J91">_xlfn.IFERROR(FIND(":",$D91),0)</f>
        <v>0</v>
      </c>
      <c r="K91" s="29" cm="1">
        <f t="array" ref="K91">_xlfn.IFERROR(FIND(":",$D91,$J91+1),0)</f>
        <v>0</v>
      </c>
      <c r="L91" t="str" s="30" cm="1">
        <f t="array" ref="L91">IF($D91="","",IF($I91=2,MID($D91,$K91+1,10),IF($I91=1,MID($D91,$J91+1,10),IF($I91=0,$D91,""))))</f>
      </c>
      <c r="M91" s="29" cm="1">
        <f t="array" ref="M91">IF($L91="",0,_xlfn.IFERROR(FIND(".",SUBSTITUTE($L91,",",".")),0))</f>
        <v>0</v>
      </c>
      <c r="N91" s="29" cm="1">
        <f t="array" ref="N91">IF($E91="",10^9,$E91)</f>
        <v>1000000000</v>
      </c>
      <c r="O91" t="str" s="30" cm="1">
        <f t="array" ref="O91">IF($E91="","",SUM($E$11:$E91))</f>
      </c>
      <c r="P91" t="str" s="30" cm="1">
        <f t="array" ref="P91">IF($E91="","",($D$6/$D$7+$O91)/COUNT($E$11:$E91))</f>
      </c>
      <c r="Q91" s="29" cm="1">
        <f t="array" ref="Q91">IF($E91="",0,IF(AND($E91&lt;$P91,OR($E92="",$P91&lt;=$E92)),1,0))</f>
        <v>0</v>
      </c>
      <c r="R91" s="27" cm="1">
        <f t="array" ref="R91">IF($V$4=0,"",ROUND($V$4,1)-10+(91-11)*0.1)</f>
        <v>3153.2</v>
      </c>
      <c r="S91" s="28">
        <v>4000</v>
      </c>
      <c r="T91" t="str" s="30" cm="1">
        <f t="array" ref="T91">IF($E91="","",ROUND($G91/$D$8,0)*$D$8)</f>
      </c>
      <c r="U91" s="14"/>
      <c r="V91" s="8"/>
    </row>
    <row r="92" ht="13.55" customHeight="1">
      <c r="A92" t="str" s="30" cm="1">
        <f t="array" ref="A92">IF($E92="","",COUNT($E$11:$E92))</f>
      </c>
      <c r="B92" s="39"/>
      <c r="C92" s="39"/>
      <c r="D92" s="39"/>
      <c r="E92" t="str" s="30" cm="1">
        <f t="array" ref="E92">IF($D92="","",_xlfn.IFERROR(IF($I92=-1,IF($D92&lt;0.5,$D92*86400,IF($D92&lt;100,$D92*1440,$D92)),IF($I92=2,VALUE(LEFT($D92,$J92-1))*3600+VALUE(MID($D92,$J92+1,$K92-$J92-1))*60,IF($I92=1,VALUE(LEFT($D92,$J92-1))*60,0))+IF($M92=0,VALUE($L92),VALUE(LEFT($L92,$M92-1))+VALUE(MID($L92,$M92+1,10))/10^(LEN($L92)-$M92))),""))</f>
      </c>
      <c r="F92" t="str" s="30" cm="1">
        <f t="array" ref="F92">IF($E92="","",MAX(0,$I$7-$E92))</f>
      </c>
      <c r="G92" t="str" s="30" cm="1">
        <f t="array" ref="G92">IF($E92="","",$F92*$D$7)</f>
      </c>
      <c r="H92" t="str" s="30" cm="1">
        <f t="array" ref="H92">IF($E92="","",$T92+IF(AND($V$6&gt;=$D$8,COUNT($E$11:$E92)=$V$7+1),$D$8,0))</f>
      </c>
      <c r="I92" t="str" s="30" cm="1">
        <f t="array" ref="I92">IF($D92="","",IF(ISTEXT($D92),LEN($D92)-LEN(SUBSTITUTE($D92,":","")),-1))</f>
      </c>
      <c r="J92" s="29" cm="1">
        <f t="array" ref="J92">_xlfn.IFERROR(FIND(":",$D92),0)</f>
        <v>0</v>
      </c>
      <c r="K92" s="29" cm="1">
        <f t="array" ref="K92">_xlfn.IFERROR(FIND(":",$D92,$J92+1),0)</f>
        <v>0</v>
      </c>
      <c r="L92" t="str" s="30" cm="1">
        <f t="array" ref="L92">IF($D92="","",IF($I92=2,MID($D92,$K92+1,10),IF($I92=1,MID($D92,$J92+1,10),IF($I92=0,$D92,""))))</f>
      </c>
      <c r="M92" s="29" cm="1">
        <f t="array" ref="M92">IF($L92="",0,_xlfn.IFERROR(FIND(".",SUBSTITUTE($L92,",",".")),0))</f>
        <v>0</v>
      </c>
      <c r="N92" s="29" cm="1">
        <f t="array" ref="N92">IF($E92="",10^9,$E92)</f>
        <v>1000000000</v>
      </c>
      <c r="O92" t="str" s="30" cm="1">
        <f t="array" ref="O92">IF($E92="","",SUM($E$11:$E92))</f>
      </c>
      <c r="P92" t="str" s="30" cm="1">
        <f t="array" ref="P92">IF($E92="","",($D$6/$D$7+$O92)/COUNT($E$11:$E92))</f>
      </c>
      <c r="Q92" s="29" cm="1">
        <f t="array" ref="Q92">IF($E92="",0,IF(AND($E92&lt;$P92,OR($E93="",$P92&lt;=$E93)),1,0))</f>
        <v>0</v>
      </c>
      <c r="R92" s="27" cm="1">
        <f t="array" ref="R92">IF($V$4=0,"",ROUND($V$4,1)-10+(92-11)*0.1)</f>
        <v>3153.3</v>
      </c>
      <c r="S92" s="28">
        <v>4000</v>
      </c>
      <c r="T92" t="str" s="30" cm="1">
        <f t="array" ref="T92">IF($E92="","",ROUND($G92/$D$8,0)*$D$8)</f>
      </c>
      <c r="U92" s="14"/>
      <c r="V92" s="8"/>
    </row>
    <row r="93" ht="13.55" customHeight="1">
      <c r="A93" t="str" s="30" cm="1">
        <f t="array" ref="A93">IF($E93="","",COUNT($E$11:$E93))</f>
      </c>
      <c r="B93" s="39"/>
      <c r="C93" s="39"/>
      <c r="D93" s="39"/>
      <c r="E93" t="str" s="30" cm="1">
        <f t="array" ref="E93">IF($D93="","",_xlfn.IFERROR(IF($I93=-1,IF($D93&lt;0.5,$D93*86400,IF($D93&lt;100,$D93*1440,$D93)),IF($I93=2,VALUE(LEFT($D93,$J93-1))*3600+VALUE(MID($D93,$J93+1,$K93-$J93-1))*60,IF($I93=1,VALUE(LEFT($D93,$J93-1))*60,0))+IF($M93=0,VALUE($L93),VALUE(LEFT($L93,$M93-1))+VALUE(MID($L93,$M93+1,10))/10^(LEN($L93)-$M93))),""))</f>
      </c>
      <c r="F93" t="str" s="30" cm="1">
        <f t="array" ref="F93">IF($E93="","",MAX(0,$I$7-$E93))</f>
      </c>
      <c r="G93" t="str" s="30" cm="1">
        <f t="array" ref="G93">IF($E93="","",$F93*$D$7)</f>
      </c>
      <c r="H93" t="str" s="30" cm="1">
        <f t="array" ref="H93">IF($E93="","",$T93+IF(AND($V$6&gt;=$D$8,COUNT($E$11:$E93)=$V$7+1),$D$8,0))</f>
      </c>
      <c r="I93" t="str" s="30" cm="1">
        <f t="array" ref="I93">IF($D93="","",IF(ISTEXT($D93),LEN($D93)-LEN(SUBSTITUTE($D93,":","")),-1))</f>
      </c>
      <c r="J93" s="29" cm="1">
        <f t="array" ref="J93">_xlfn.IFERROR(FIND(":",$D93),0)</f>
        <v>0</v>
      </c>
      <c r="K93" s="29" cm="1">
        <f t="array" ref="K93">_xlfn.IFERROR(FIND(":",$D93,$J93+1),0)</f>
        <v>0</v>
      </c>
      <c r="L93" t="str" s="30" cm="1">
        <f t="array" ref="L93">IF($D93="","",IF($I93=2,MID($D93,$K93+1,10),IF($I93=1,MID($D93,$J93+1,10),IF($I93=0,$D93,""))))</f>
      </c>
      <c r="M93" s="29" cm="1">
        <f t="array" ref="M93">IF($L93="",0,_xlfn.IFERROR(FIND(".",SUBSTITUTE($L93,",",".")),0))</f>
        <v>0</v>
      </c>
      <c r="N93" s="29" cm="1">
        <f t="array" ref="N93">IF($E93="",10^9,$E93)</f>
        <v>1000000000</v>
      </c>
      <c r="O93" t="str" s="30" cm="1">
        <f t="array" ref="O93">IF($E93="","",SUM($E$11:$E93))</f>
      </c>
      <c r="P93" t="str" s="30" cm="1">
        <f t="array" ref="P93">IF($E93="","",($D$6/$D$7+$O93)/COUNT($E$11:$E93))</f>
      </c>
      <c r="Q93" s="29" cm="1">
        <f t="array" ref="Q93">IF($E93="",0,IF(AND($E93&lt;$P93,OR($E94="",$P93&lt;=$E94)),1,0))</f>
        <v>0</v>
      </c>
      <c r="R93" s="27" cm="1">
        <f t="array" ref="R93">IF($V$4=0,"",ROUND($V$4,1)-10+(93-11)*0.1)</f>
        <v>3153.4</v>
      </c>
      <c r="S93" s="28">
        <v>4000</v>
      </c>
      <c r="T93" t="str" s="30" cm="1">
        <f t="array" ref="T93">IF($E93="","",ROUND($G93/$D$8,0)*$D$8)</f>
      </c>
      <c r="U93" s="14"/>
      <c r="V93" s="8"/>
    </row>
    <row r="94" ht="13.55" customHeight="1">
      <c r="A94" t="str" s="30" cm="1">
        <f t="array" ref="A94">IF($E94="","",COUNT($E$11:$E94))</f>
      </c>
      <c r="B94" s="39"/>
      <c r="C94" s="39"/>
      <c r="D94" s="39"/>
      <c r="E94" t="str" s="30" cm="1">
        <f t="array" ref="E94">IF($D94="","",_xlfn.IFERROR(IF($I94=-1,IF($D94&lt;0.5,$D94*86400,IF($D94&lt;100,$D94*1440,$D94)),IF($I94=2,VALUE(LEFT($D94,$J94-1))*3600+VALUE(MID($D94,$J94+1,$K94-$J94-1))*60,IF($I94=1,VALUE(LEFT($D94,$J94-1))*60,0))+IF($M94=0,VALUE($L94),VALUE(LEFT($L94,$M94-1))+VALUE(MID($L94,$M94+1,10))/10^(LEN($L94)-$M94))),""))</f>
      </c>
      <c r="F94" t="str" s="30" cm="1">
        <f t="array" ref="F94">IF($E94="","",MAX(0,$I$7-$E94))</f>
      </c>
      <c r="G94" t="str" s="30" cm="1">
        <f t="array" ref="G94">IF($E94="","",$F94*$D$7)</f>
      </c>
      <c r="H94" t="str" s="30" cm="1">
        <f t="array" ref="H94">IF($E94="","",$T94+IF(AND($V$6&gt;=$D$8,COUNT($E$11:$E94)=$V$7+1),$D$8,0))</f>
      </c>
      <c r="I94" t="str" s="30" cm="1">
        <f t="array" ref="I94">IF($D94="","",IF(ISTEXT($D94),LEN($D94)-LEN(SUBSTITUTE($D94,":","")),-1))</f>
      </c>
      <c r="J94" s="29" cm="1">
        <f t="array" ref="J94">_xlfn.IFERROR(FIND(":",$D94),0)</f>
        <v>0</v>
      </c>
      <c r="K94" s="29" cm="1">
        <f t="array" ref="K94">_xlfn.IFERROR(FIND(":",$D94,$J94+1),0)</f>
        <v>0</v>
      </c>
      <c r="L94" t="str" s="30" cm="1">
        <f t="array" ref="L94">IF($D94="","",IF($I94=2,MID($D94,$K94+1,10),IF($I94=1,MID($D94,$J94+1,10),IF($I94=0,$D94,""))))</f>
      </c>
      <c r="M94" s="29" cm="1">
        <f t="array" ref="M94">IF($L94="",0,_xlfn.IFERROR(FIND(".",SUBSTITUTE($L94,",",".")),0))</f>
        <v>0</v>
      </c>
      <c r="N94" s="29" cm="1">
        <f t="array" ref="N94">IF($E94="",10^9,$E94)</f>
        <v>1000000000</v>
      </c>
      <c r="O94" t="str" s="30" cm="1">
        <f t="array" ref="O94">IF($E94="","",SUM($E$11:$E94))</f>
      </c>
      <c r="P94" t="str" s="30" cm="1">
        <f t="array" ref="P94">IF($E94="","",($D$6/$D$7+$O94)/COUNT($E$11:$E94))</f>
      </c>
      <c r="Q94" s="29" cm="1">
        <f t="array" ref="Q94">IF($E94="",0,IF(AND($E94&lt;$P94,OR($E95="",$P94&lt;=$E95)),1,0))</f>
        <v>0</v>
      </c>
      <c r="R94" s="27" cm="1">
        <f t="array" ref="R94">IF($V$4=0,"",ROUND($V$4,1)-10+(94-11)*0.1)</f>
        <v>3153.5</v>
      </c>
      <c r="S94" s="28">
        <v>4000</v>
      </c>
      <c r="T94" t="str" s="30" cm="1">
        <f t="array" ref="T94">IF($E94="","",ROUND($G94/$D$8,0)*$D$8)</f>
      </c>
      <c r="U94" s="14"/>
      <c r="V94" s="8"/>
    </row>
    <row r="95" ht="13.55" customHeight="1">
      <c r="A95" t="str" s="30" cm="1">
        <f t="array" ref="A95">IF($E95="","",COUNT($E$11:$E95))</f>
      </c>
      <c r="B95" s="39"/>
      <c r="C95" s="39"/>
      <c r="D95" s="39"/>
      <c r="E95" t="str" s="30" cm="1">
        <f t="array" ref="E95">IF($D95="","",_xlfn.IFERROR(IF($I95=-1,IF($D95&lt;0.5,$D95*86400,IF($D95&lt;100,$D95*1440,$D95)),IF($I95=2,VALUE(LEFT($D95,$J95-1))*3600+VALUE(MID($D95,$J95+1,$K95-$J95-1))*60,IF($I95=1,VALUE(LEFT($D95,$J95-1))*60,0))+IF($M95=0,VALUE($L95),VALUE(LEFT($L95,$M95-1))+VALUE(MID($L95,$M95+1,10))/10^(LEN($L95)-$M95))),""))</f>
      </c>
      <c r="F95" t="str" s="30" cm="1">
        <f t="array" ref="F95">IF($E95="","",MAX(0,$I$7-$E95))</f>
      </c>
      <c r="G95" t="str" s="30" cm="1">
        <f t="array" ref="G95">IF($E95="","",$F95*$D$7)</f>
      </c>
      <c r="H95" t="str" s="30" cm="1">
        <f t="array" ref="H95">IF($E95="","",$T95+IF(AND($V$6&gt;=$D$8,COUNT($E$11:$E95)=$V$7+1),$D$8,0))</f>
      </c>
      <c r="I95" t="str" s="30" cm="1">
        <f t="array" ref="I95">IF($D95="","",IF(ISTEXT($D95),LEN($D95)-LEN(SUBSTITUTE($D95,":","")),-1))</f>
      </c>
      <c r="J95" s="29" cm="1">
        <f t="array" ref="J95">_xlfn.IFERROR(FIND(":",$D95),0)</f>
        <v>0</v>
      </c>
      <c r="K95" s="29" cm="1">
        <f t="array" ref="K95">_xlfn.IFERROR(FIND(":",$D95,$J95+1),0)</f>
        <v>0</v>
      </c>
      <c r="L95" t="str" s="30" cm="1">
        <f t="array" ref="L95">IF($D95="","",IF($I95=2,MID($D95,$K95+1,10),IF($I95=1,MID($D95,$J95+1,10),IF($I95=0,$D95,""))))</f>
      </c>
      <c r="M95" s="29" cm="1">
        <f t="array" ref="M95">IF($L95="",0,_xlfn.IFERROR(FIND(".",SUBSTITUTE($L95,",",".")),0))</f>
        <v>0</v>
      </c>
      <c r="N95" s="29" cm="1">
        <f t="array" ref="N95">IF($E95="",10^9,$E95)</f>
        <v>1000000000</v>
      </c>
      <c r="O95" t="str" s="30" cm="1">
        <f t="array" ref="O95">IF($E95="","",SUM($E$11:$E95))</f>
      </c>
      <c r="P95" t="str" s="30" cm="1">
        <f t="array" ref="P95">IF($E95="","",($D$6/$D$7+$O95)/COUNT($E$11:$E95))</f>
      </c>
      <c r="Q95" s="29" cm="1">
        <f t="array" ref="Q95">IF($E95="",0,IF(AND($E95&lt;$P95,OR($E96="",$P95&lt;=$E96)),1,0))</f>
        <v>0</v>
      </c>
      <c r="R95" s="27" cm="1">
        <f t="array" ref="R95">IF($V$4=0,"",ROUND($V$4,1)-10+(95-11)*0.1)</f>
        <v>3153.6</v>
      </c>
      <c r="S95" s="28">
        <v>4000</v>
      </c>
      <c r="T95" t="str" s="30" cm="1">
        <f t="array" ref="T95">IF($E95="","",ROUND($G95/$D$8,0)*$D$8)</f>
      </c>
      <c r="U95" s="14"/>
      <c r="V95" s="8"/>
    </row>
    <row r="96" ht="13.55" customHeight="1">
      <c r="A96" t="str" s="30" cm="1">
        <f t="array" ref="A96">IF($E96="","",COUNT($E$11:$E96))</f>
      </c>
      <c r="B96" s="39"/>
      <c r="C96" s="39"/>
      <c r="D96" s="39"/>
      <c r="E96" t="str" s="30" cm="1">
        <f t="array" ref="E96">IF($D96="","",_xlfn.IFERROR(IF($I96=-1,IF($D96&lt;0.5,$D96*86400,IF($D96&lt;100,$D96*1440,$D96)),IF($I96=2,VALUE(LEFT($D96,$J96-1))*3600+VALUE(MID($D96,$J96+1,$K96-$J96-1))*60,IF($I96=1,VALUE(LEFT($D96,$J96-1))*60,0))+IF($M96=0,VALUE($L96),VALUE(LEFT($L96,$M96-1))+VALUE(MID($L96,$M96+1,10))/10^(LEN($L96)-$M96))),""))</f>
      </c>
      <c r="F96" t="str" s="30" cm="1">
        <f t="array" ref="F96">IF($E96="","",MAX(0,$I$7-$E96))</f>
      </c>
      <c r="G96" t="str" s="30" cm="1">
        <f t="array" ref="G96">IF($E96="","",$F96*$D$7)</f>
      </c>
      <c r="H96" t="str" s="30" cm="1">
        <f t="array" ref="H96">IF($E96="","",$T96+IF(AND($V$6&gt;=$D$8,COUNT($E$11:$E96)=$V$7+1),$D$8,0))</f>
      </c>
      <c r="I96" t="str" s="30" cm="1">
        <f t="array" ref="I96">IF($D96="","",IF(ISTEXT($D96),LEN($D96)-LEN(SUBSTITUTE($D96,":","")),-1))</f>
      </c>
      <c r="J96" s="29" cm="1">
        <f t="array" ref="J96">_xlfn.IFERROR(FIND(":",$D96),0)</f>
        <v>0</v>
      </c>
      <c r="K96" s="29" cm="1">
        <f t="array" ref="K96">_xlfn.IFERROR(FIND(":",$D96,$J96+1),0)</f>
        <v>0</v>
      </c>
      <c r="L96" t="str" s="30" cm="1">
        <f t="array" ref="L96">IF($D96="","",IF($I96=2,MID($D96,$K96+1,10),IF($I96=1,MID($D96,$J96+1,10),IF($I96=0,$D96,""))))</f>
      </c>
      <c r="M96" s="29" cm="1">
        <f t="array" ref="M96">IF($L96="",0,_xlfn.IFERROR(FIND(".",SUBSTITUTE($L96,",",".")),0))</f>
        <v>0</v>
      </c>
      <c r="N96" s="29" cm="1">
        <f t="array" ref="N96">IF($E96="",10^9,$E96)</f>
        <v>1000000000</v>
      </c>
      <c r="O96" t="str" s="30" cm="1">
        <f t="array" ref="O96">IF($E96="","",SUM($E$11:$E96))</f>
      </c>
      <c r="P96" t="str" s="30" cm="1">
        <f t="array" ref="P96">IF($E96="","",($D$6/$D$7+$O96)/COUNT($E$11:$E96))</f>
      </c>
      <c r="Q96" s="29" cm="1">
        <f t="array" ref="Q96">IF($E96="",0,IF(AND($E96&lt;$P96,OR($E97="",$P96&lt;=$E97)),1,0))</f>
        <v>0</v>
      </c>
      <c r="R96" s="27" cm="1">
        <f t="array" ref="R96">IF($V$4=0,"",ROUND($V$4,1)-10+(96-11)*0.1)</f>
        <v>3153.7</v>
      </c>
      <c r="S96" s="28">
        <v>4000</v>
      </c>
      <c r="T96" t="str" s="30" cm="1">
        <f t="array" ref="T96">IF($E96="","",ROUND($G96/$D$8,0)*$D$8)</f>
      </c>
      <c r="U96" s="14"/>
      <c r="V96" s="8"/>
    </row>
    <row r="97" ht="13.55" customHeight="1">
      <c r="A97" t="str" s="30" cm="1">
        <f t="array" ref="A97">IF($E97="","",COUNT($E$11:$E97))</f>
      </c>
      <c r="B97" s="39"/>
      <c r="C97" s="39"/>
      <c r="D97" s="39"/>
      <c r="E97" t="str" s="30" cm="1">
        <f t="array" ref="E97">IF($D97="","",_xlfn.IFERROR(IF($I97=-1,IF($D97&lt;0.5,$D97*86400,IF($D97&lt;100,$D97*1440,$D97)),IF($I97=2,VALUE(LEFT($D97,$J97-1))*3600+VALUE(MID($D97,$J97+1,$K97-$J97-1))*60,IF($I97=1,VALUE(LEFT($D97,$J97-1))*60,0))+IF($M97=0,VALUE($L97),VALUE(LEFT($L97,$M97-1))+VALUE(MID($L97,$M97+1,10))/10^(LEN($L97)-$M97))),""))</f>
      </c>
      <c r="F97" t="str" s="30" cm="1">
        <f t="array" ref="F97">IF($E97="","",MAX(0,$I$7-$E97))</f>
      </c>
      <c r="G97" t="str" s="30" cm="1">
        <f t="array" ref="G97">IF($E97="","",$F97*$D$7)</f>
      </c>
      <c r="H97" t="str" s="30" cm="1">
        <f t="array" ref="H97">IF($E97="","",$T97+IF(AND($V$6&gt;=$D$8,COUNT($E$11:$E97)=$V$7+1),$D$8,0))</f>
      </c>
      <c r="I97" t="str" s="30" cm="1">
        <f t="array" ref="I97">IF($D97="","",IF(ISTEXT($D97),LEN($D97)-LEN(SUBSTITUTE($D97,":","")),-1))</f>
      </c>
      <c r="J97" s="29" cm="1">
        <f t="array" ref="J97">_xlfn.IFERROR(FIND(":",$D97),0)</f>
        <v>0</v>
      </c>
      <c r="K97" s="29" cm="1">
        <f t="array" ref="K97">_xlfn.IFERROR(FIND(":",$D97,$J97+1),0)</f>
        <v>0</v>
      </c>
      <c r="L97" t="str" s="30" cm="1">
        <f t="array" ref="L97">IF($D97="","",IF($I97=2,MID($D97,$K97+1,10),IF($I97=1,MID($D97,$J97+1,10),IF($I97=0,$D97,""))))</f>
      </c>
      <c r="M97" s="29" cm="1">
        <f t="array" ref="M97">IF($L97="",0,_xlfn.IFERROR(FIND(".",SUBSTITUTE($L97,",",".")),0))</f>
        <v>0</v>
      </c>
      <c r="N97" s="29" cm="1">
        <f t="array" ref="N97">IF($E97="",10^9,$E97)</f>
        <v>1000000000</v>
      </c>
      <c r="O97" t="str" s="30" cm="1">
        <f t="array" ref="O97">IF($E97="","",SUM($E$11:$E97))</f>
      </c>
      <c r="P97" t="str" s="30" cm="1">
        <f t="array" ref="P97">IF($E97="","",($D$6/$D$7+$O97)/COUNT($E$11:$E97))</f>
      </c>
      <c r="Q97" s="29" cm="1">
        <f t="array" ref="Q97">IF($E97="",0,IF(AND($E97&lt;$P97,OR($E98="",$P97&lt;=$E98)),1,0))</f>
        <v>0</v>
      </c>
      <c r="R97" s="27" cm="1">
        <f t="array" ref="R97">IF($V$4=0,"",ROUND($V$4,1)-10+(97-11)*0.1)</f>
        <v>3153.8</v>
      </c>
      <c r="S97" s="28">
        <v>4000</v>
      </c>
      <c r="T97" t="str" s="30" cm="1">
        <f t="array" ref="T97">IF($E97="","",ROUND($G97/$D$8,0)*$D$8)</f>
      </c>
      <c r="U97" s="14"/>
      <c r="V97" s="8"/>
    </row>
    <row r="98" ht="13.55" customHeight="1">
      <c r="A98" t="str" s="30" cm="1">
        <f t="array" ref="A98">IF($E98="","",COUNT($E$11:$E98))</f>
      </c>
      <c r="B98" s="39"/>
      <c r="C98" s="39"/>
      <c r="D98" s="39"/>
      <c r="E98" t="str" s="30" cm="1">
        <f t="array" ref="E98">IF($D98="","",_xlfn.IFERROR(IF($I98=-1,IF($D98&lt;0.5,$D98*86400,IF($D98&lt;100,$D98*1440,$D98)),IF($I98=2,VALUE(LEFT($D98,$J98-1))*3600+VALUE(MID($D98,$J98+1,$K98-$J98-1))*60,IF($I98=1,VALUE(LEFT($D98,$J98-1))*60,0))+IF($M98=0,VALUE($L98),VALUE(LEFT($L98,$M98-1))+VALUE(MID($L98,$M98+1,10))/10^(LEN($L98)-$M98))),""))</f>
      </c>
      <c r="F98" t="str" s="30" cm="1">
        <f t="array" ref="F98">IF($E98="","",MAX(0,$I$7-$E98))</f>
      </c>
      <c r="G98" t="str" s="30" cm="1">
        <f t="array" ref="G98">IF($E98="","",$F98*$D$7)</f>
      </c>
      <c r="H98" t="str" s="30" cm="1">
        <f t="array" ref="H98">IF($E98="","",$T98+IF(AND($V$6&gt;=$D$8,COUNT($E$11:$E98)=$V$7+1),$D$8,0))</f>
      </c>
      <c r="I98" t="str" s="30" cm="1">
        <f t="array" ref="I98">IF($D98="","",IF(ISTEXT($D98),LEN($D98)-LEN(SUBSTITUTE($D98,":","")),-1))</f>
      </c>
      <c r="J98" s="29" cm="1">
        <f t="array" ref="J98">_xlfn.IFERROR(FIND(":",$D98),0)</f>
        <v>0</v>
      </c>
      <c r="K98" s="29" cm="1">
        <f t="array" ref="K98">_xlfn.IFERROR(FIND(":",$D98,$J98+1),0)</f>
        <v>0</v>
      </c>
      <c r="L98" t="str" s="30" cm="1">
        <f t="array" ref="L98">IF($D98="","",IF($I98=2,MID($D98,$K98+1,10),IF($I98=1,MID($D98,$J98+1,10),IF($I98=0,$D98,""))))</f>
      </c>
      <c r="M98" s="29" cm="1">
        <f t="array" ref="M98">IF($L98="",0,_xlfn.IFERROR(FIND(".",SUBSTITUTE($L98,",",".")),0))</f>
        <v>0</v>
      </c>
      <c r="N98" s="29" cm="1">
        <f t="array" ref="N98">IF($E98="",10^9,$E98)</f>
        <v>1000000000</v>
      </c>
      <c r="O98" t="str" s="30" cm="1">
        <f t="array" ref="O98">IF($E98="","",SUM($E$11:$E98))</f>
      </c>
      <c r="P98" t="str" s="30" cm="1">
        <f t="array" ref="P98">IF($E98="","",($D$6/$D$7+$O98)/COUNT($E$11:$E98))</f>
      </c>
      <c r="Q98" s="29" cm="1">
        <f t="array" ref="Q98">IF($E98="",0,IF(AND($E98&lt;$P98,OR($E99="",$P98&lt;=$E99)),1,0))</f>
        <v>0</v>
      </c>
      <c r="R98" s="27" cm="1">
        <f t="array" ref="R98">IF($V$4=0,"",ROUND($V$4,1)-10+(98-11)*0.1)</f>
        <v>3153.9</v>
      </c>
      <c r="S98" s="28">
        <v>4000</v>
      </c>
      <c r="T98" t="str" s="30" cm="1">
        <f t="array" ref="T98">IF($E98="","",ROUND($G98/$D$8,0)*$D$8)</f>
      </c>
      <c r="U98" s="14"/>
      <c r="V98" s="8"/>
    </row>
    <row r="99" ht="13.55" customHeight="1">
      <c r="A99" t="str" s="30" cm="1">
        <f t="array" ref="A99">IF($E99="","",COUNT($E$11:$E99))</f>
      </c>
      <c r="B99" s="39"/>
      <c r="C99" s="39"/>
      <c r="D99" s="39"/>
      <c r="E99" t="str" s="30" cm="1">
        <f t="array" ref="E99">IF($D99="","",_xlfn.IFERROR(IF($I99=-1,IF($D99&lt;0.5,$D99*86400,IF($D99&lt;100,$D99*1440,$D99)),IF($I99=2,VALUE(LEFT($D99,$J99-1))*3600+VALUE(MID($D99,$J99+1,$K99-$J99-1))*60,IF($I99=1,VALUE(LEFT($D99,$J99-1))*60,0))+IF($M99=0,VALUE($L99),VALUE(LEFT($L99,$M99-1))+VALUE(MID($L99,$M99+1,10))/10^(LEN($L99)-$M99))),""))</f>
      </c>
      <c r="F99" t="str" s="30" cm="1">
        <f t="array" ref="F99">IF($E99="","",MAX(0,$I$7-$E99))</f>
      </c>
      <c r="G99" t="str" s="30" cm="1">
        <f t="array" ref="G99">IF($E99="","",$F99*$D$7)</f>
      </c>
      <c r="H99" t="str" s="30" cm="1">
        <f t="array" ref="H99">IF($E99="","",$T99+IF(AND($V$6&gt;=$D$8,COUNT($E$11:$E99)=$V$7+1),$D$8,0))</f>
      </c>
      <c r="I99" t="str" s="30" cm="1">
        <f t="array" ref="I99">IF($D99="","",IF(ISTEXT($D99),LEN($D99)-LEN(SUBSTITUTE($D99,":","")),-1))</f>
      </c>
      <c r="J99" s="29" cm="1">
        <f t="array" ref="J99">_xlfn.IFERROR(FIND(":",$D99),0)</f>
        <v>0</v>
      </c>
      <c r="K99" s="29" cm="1">
        <f t="array" ref="K99">_xlfn.IFERROR(FIND(":",$D99,$J99+1),0)</f>
        <v>0</v>
      </c>
      <c r="L99" t="str" s="30" cm="1">
        <f t="array" ref="L99">IF($D99="","",IF($I99=2,MID($D99,$K99+1,10),IF($I99=1,MID($D99,$J99+1,10),IF($I99=0,$D99,""))))</f>
      </c>
      <c r="M99" s="29" cm="1">
        <f t="array" ref="M99">IF($L99="",0,_xlfn.IFERROR(FIND(".",SUBSTITUTE($L99,",",".")),0))</f>
        <v>0</v>
      </c>
      <c r="N99" s="29" cm="1">
        <f t="array" ref="N99">IF($E99="",10^9,$E99)</f>
        <v>1000000000</v>
      </c>
      <c r="O99" t="str" s="30" cm="1">
        <f t="array" ref="O99">IF($E99="","",SUM($E$11:$E99))</f>
      </c>
      <c r="P99" t="str" s="30" cm="1">
        <f t="array" ref="P99">IF($E99="","",($D$6/$D$7+$O99)/COUNT($E$11:$E99))</f>
      </c>
      <c r="Q99" s="29" cm="1">
        <f t="array" ref="Q99">IF($E99="",0,IF(AND($E99&lt;$P99,OR($E100="",$P99&lt;=$E100)),1,0))</f>
        <v>0</v>
      </c>
      <c r="R99" s="27" cm="1">
        <f t="array" ref="R99">IF($V$4=0,"",ROUND($V$4,1)-10+(99-11)*0.1)</f>
        <v>3154</v>
      </c>
      <c r="S99" s="28">
        <v>4000</v>
      </c>
      <c r="T99" t="str" s="30" cm="1">
        <f t="array" ref="T99">IF($E99="","",ROUND($G99/$D$8,0)*$D$8)</f>
      </c>
      <c r="U99" s="14"/>
      <c r="V99" s="8"/>
    </row>
    <row r="100" ht="13.55" customHeight="1">
      <c r="A100" t="str" s="30" cm="1">
        <f t="array" ref="A100">IF($E100="","",COUNT($E$11:$E100))</f>
      </c>
      <c r="B100" s="39"/>
      <c r="C100" s="39"/>
      <c r="D100" s="39"/>
      <c r="E100" t="str" s="30" cm="1">
        <f t="array" ref="E100">IF($D100="","",_xlfn.IFERROR(IF($I100=-1,IF($D100&lt;0.5,$D100*86400,IF($D100&lt;100,$D100*1440,$D100)),IF($I100=2,VALUE(LEFT($D100,$J100-1))*3600+VALUE(MID($D100,$J100+1,$K100-$J100-1))*60,IF($I100=1,VALUE(LEFT($D100,$J100-1))*60,0))+IF($M100=0,VALUE($L100),VALUE(LEFT($L100,$M100-1))+VALUE(MID($L100,$M100+1,10))/10^(LEN($L100)-$M100))),""))</f>
      </c>
      <c r="F100" t="str" s="30" cm="1">
        <f t="array" ref="F100">IF($E100="","",MAX(0,$I$7-$E100))</f>
      </c>
      <c r="G100" t="str" s="30" cm="1">
        <f t="array" ref="G100">IF($E100="","",$F100*$D$7)</f>
      </c>
      <c r="H100" t="str" s="30" cm="1">
        <f t="array" ref="H100">IF($E100="","",$T100+IF(AND($V$6&gt;=$D$8,COUNT($E$11:$E100)=$V$7+1),$D$8,0))</f>
      </c>
      <c r="I100" t="str" s="30" cm="1">
        <f t="array" ref="I100">IF($D100="","",IF(ISTEXT($D100),LEN($D100)-LEN(SUBSTITUTE($D100,":","")),-1))</f>
      </c>
      <c r="J100" s="29" cm="1">
        <f t="array" ref="J100">_xlfn.IFERROR(FIND(":",$D100),0)</f>
        <v>0</v>
      </c>
      <c r="K100" s="29" cm="1">
        <f t="array" ref="K100">_xlfn.IFERROR(FIND(":",$D100,$J100+1),0)</f>
        <v>0</v>
      </c>
      <c r="L100" t="str" s="30" cm="1">
        <f t="array" ref="L100">IF($D100="","",IF($I100=2,MID($D100,$K100+1,10),IF($I100=1,MID($D100,$J100+1,10),IF($I100=0,$D100,""))))</f>
      </c>
      <c r="M100" s="29" cm="1">
        <f t="array" ref="M100">IF($L100="",0,_xlfn.IFERROR(FIND(".",SUBSTITUTE($L100,",",".")),0))</f>
        <v>0</v>
      </c>
      <c r="N100" s="29" cm="1">
        <f t="array" ref="N100">IF($E100="",10^9,$E100)</f>
        <v>1000000000</v>
      </c>
      <c r="O100" t="str" s="30" cm="1">
        <f t="array" ref="O100">IF($E100="","",SUM($E$11:$E100))</f>
      </c>
      <c r="P100" t="str" s="30" cm="1">
        <f t="array" ref="P100">IF($E100="","",($D$6/$D$7+$O100)/COUNT($E$11:$E100))</f>
      </c>
      <c r="Q100" s="29" cm="1">
        <f t="array" ref="Q100">IF($E100="",0,IF(AND($E100&lt;$P100,OR($E101="",$P100&lt;=$E101)),1,0))</f>
        <v>0</v>
      </c>
      <c r="R100" s="27" cm="1">
        <f t="array" ref="R100">IF($V$4=0,"",ROUND($V$4,1)-10+(100-11)*0.1)</f>
        <v>3154.1</v>
      </c>
      <c r="S100" s="28">
        <v>4000</v>
      </c>
      <c r="T100" t="str" s="30" cm="1">
        <f t="array" ref="T100">IF($E100="","",ROUND($G100/$D$8,0)*$D$8)</f>
      </c>
      <c r="U100" s="14"/>
      <c r="V100" s="8"/>
    </row>
    <row r="101" ht="13.55" customHeight="1">
      <c r="A101" t="str" s="30" cm="1">
        <f t="array" ref="A101">IF($E101="","",COUNT($E$11:$E101))</f>
      </c>
      <c r="B101" s="39"/>
      <c r="C101" s="39"/>
      <c r="D101" s="39"/>
      <c r="E101" t="str" s="30" cm="1">
        <f t="array" ref="E101">IF($D101="","",_xlfn.IFERROR(IF($I101=-1,IF($D101&lt;0.5,$D101*86400,IF($D101&lt;100,$D101*1440,$D101)),IF($I101=2,VALUE(LEFT($D101,$J101-1))*3600+VALUE(MID($D101,$J101+1,$K101-$J101-1))*60,IF($I101=1,VALUE(LEFT($D101,$J101-1))*60,0))+IF($M101=0,VALUE($L101),VALUE(LEFT($L101,$M101-1))+VALUE(MID($L101,$M101+1,10))/10^(LEN($L101)-$M101))),""))</f>
      </c>
      <c r="F101" t="str" s="30" cm="1">
        <f t="array" ref="F101">IF($E101="","",MAX(0,$I$7-$E101))</f>
      </c>
      <c r="G101" t="str" s="30" cm="1">
        <f t="array" ref="G101">IF($E101="","",$F101*$D$7)</f>
      </c>
      <c r="H101" t="str" s="30" cm="1">
        <f t="array" ref="H101">IF($E101="","",$T101+IF(AND($V$6&gt;=$D$8,COUNT($E$11:$E101)=$V$7+1),$D$8,0))</f>
      </c>
      <c r="I101" t="str" s="30" cm="1">
        <f t="array" ref="I101">IF($D101="","",IF(ISTEXT($D101),LEN($D101)-LEN(SUBSTITUTE($D101,":","")),-1))</f>
      </c>
      <c r="J101" s="29" cm="1">
        <f t="array" ref="J101">_xlfn.IFERROR(FIND(":",$D101),0)</f>
        <v>0</v>
      </c>
      <c r="K101" s="29" cm="1">
        <f t="array" ref="K101">_xlfn.IFERROR(FIND(":",$D101,$J101+1),0)</f>
        <v>0</v>
      </c>
      <c r="L101" t="str" s="30" cm="1">
        <f t="array" ref="L101">IF($D101="","",IF($I101=2,MID($D101,$K101+1,10),IF($I101=1,MID($D101,$J101+1,10),IF($I101=0,$D101,""))))</f>
      </c>
      <c r="M101" s="29" cm="1">
        <f t="array" ref="M101">IF($L101="",0,_xlfn.IFERROR(FIND(".",SUBSTITUTE($L101,",",".")),0))</f>
        <v>0</v>
      </c>
      <c r="N101" s="29" cm="1">
        <f t="array" ref="N101">IF($E101="",10^9,$E101)</f>
        <v>1000000000</v>
      </c>
      <c r="O101" t="str" s="30" cm="1">
        <f t="array" ref="O101">IF($E101="","",SUM($E$11:$E101))</f>
      </c>
      <c r="P101" t="str" s="30" cm="1">
        <f t="array" ref="P101">IF($E101="","",($D$6/$D$7+$O101)/COUNT($E$11:$E101))</f>
      </c>
      <c r="Q101" s="29" cm="1">
        <f t="array" ref="Q101">IF($E101="",0,IF(AND($E101&lt;$P101,OR($E102="",$P101&lt;=$E102)),1,0))</f>
        <v>0</v>
      </c>
      <c r="R101" s="27" cm="1">
        <f t="array" ref="R101">IF($V$4=0,"",ROUND($V$4,1)-10+(101-11)*0.1)</f>
        <v>3154.2</v>
      </c>
      <c r="S101" s="28">
        <v>4000</v>
      </c>
      <c r="T101" t="str" s="30" cm="1">
        <f t="array" ref="T101">IF($E101="","",ROUND($G101/$D$8,0)*$D$8)</f>
      </c>
      <c r="U101" s="14"/>
      <c r="V101" s="8"/>
    </row>
    <row r="102" ht="13.55" customHeight="1">
      <c r="A102" t="str" s="30" cm="1">
        <f t="array" ref="A102">IF($E102="","",COUNT($E$11:$E102))</f>
      </c>
      <c r="B102" s="39"/>
      <c r="C102" s="39"/>
      <c r="D102" s="39"/>
      <c r="E102" t="str" s="30" cm="1">
        <f t="array" ref="E102">IF($D102="","",_xlfn.IFERROR(IF($I102=-1,IF($D102&lt;0.5,$D102*86400,IF($D102&lt;100,$D102*1440,$D102)),IF($I102=2,VALUE(LEFT($D102,$J102-1))*3600+VALUE(MID($D102,$J102+1,$K102-$J102-1))*60,IF($I102=1,VALUE(LEFT($D102,$J102-1))*60,0))+IF($M102=0,VALUE($L102),VALUE(LEFT($L102,$M102-1))+VALUE(MID($L102,$M102+1,10))/10^(LEN($L102)-$M102))),""))</f>
      </c>
      <c r="F102" t="str" s="30" cm="1">
        <f t="array" ref="F102">IF($E102="","",MAX(0,$I$7-$E102))</f>
      </c>
      <c r="G102" t="str" s="30" cm="1">
        <f t="array" ref="G102">IF($E102="","",$F102*$D$7)</f>
      </c>
      <c r="H102" t="str" s="30" cm="1">
        <f t="array" ref="H102">IF($E102="","",$T102+IF(AND($V$6&gt;=$D$8,COUNT($E$11:$E102)=$V$7+1),$D$8,0))</f>
      </c>
      <c r="I102" t="str" s="30" cm="1">
        <f t="array" ref="I102">IF($D102="","",IF(ISTEXT($D102),LEN($D102)-LEN(SUBSTITUTE($D102,":","")),-1))</f>
      </c>
      <c r="J102" s="29" cm="1">
        <f t="array" ref="J102">_xlfn.IFERROR(FIND(":",$D102),0)</f>
        <v>0</v>
      </c>
      <c r="K102" s="29" cm="1">
        <f t="array" ref="K102">_xlfn.IFERROR(FIND(":",$D102,$J102+1),0)</f>
        <v>0</v>
      </c>
      <c r="L102" t="str" s="30" cm="1">
        <f t="array" ref="L102">IF($D102="","",IF($I102=2,MID($D102,$K102+1,10),IF($I102=1,MID($D102,$J102+1,10),IF($I102=0,$D102,""))))</f>
      </c>
      <c r="M102" s="29" cm="1">
        <f t="array" ref="M102">IF($L102="",0,_xlfn.IFERROR(FIND(".",SUBSTITUTE($L102,",",".")),0))</f>
        <v>0</v>
      </c>
      <c r="N102" s="29" cm="1">
        <f t="array" ref="N102">IF($E102="",10^9,$E102)</f>
        <v>1000000000</v>
      </c>
      <c r="O102" t="str" s="30" cm="1">
        <f t="array" ref="O102">IF($E102="","",SUM($E$11:$E102))</f>
      </c>
      <c r="P102" t="str" s="30" cm="1">
        <f t="array" ref="P102">IF($E102="","",($D$6/$D$7+$O102)/COUNT($E$11:$E102))</f>
      </c>
      <c r="Q102" s="29" cm="1">
        <f t="array" ref="Q102">IF($E102="",0,IF(AND($E102&lt;$P102,OR($E103="",$P102&lt;=$E103)),1,0))</f>
        <v>0</v>
      </c>
      <c r="R102" s="27" cm="1">
        <f t="array" ref="R102">IF($V$4=0,"",ROUND($V$4,1)-10+(102-11)*0.1)</f>
        <v>3154.3</v>
      </c>
      <c r="S102" s="28">
        <v>4000</v>
      </c>
      <c r="T102" t="str" s="30" cm="1">
        <f t="array" ref="T102">IF($E102="","",ROUND($G102/$D$8,0)*$D$8)</f>
      </c>
      <c r="U102" s="14"/>
      <c r="V102" s="8"/>
    </row>
    <row r="103" ht="13.55" customHeight="1">
      <c r="A103" t="str" s="30" cm="1">
        <f t="array" ref="A103">IF($E103="","",COUNT($E$11:$E103))</f>
      </c>
      <c r="B103" s="39"/>
      <c r="C103" s="39"/>
      <c r="D103" s="39"/>
      <c r="E103" t="str" s="30" cm="1">
        <f t="array" ref="E103">IF($D103="","",_xlfn.IFERROR(IF($I103=-1,IF($D103&lt;0.5,$D103*86400,IF($D103&lt;100,$D103*1440,$D103)),IF($I103=2,VALUE(LEFT($D103,$J103-1))*3600+VALUE(MID($D103,$J103+1,$K103-$J103-1))*60,IF($I103=1,VALUE(LEFT($D103,$J103-1))*60,0))+IF($M103=0,VALUE($L103),VALUE(LEFT($L103,$M103-1))+VALUE(MID($L103,$M103+1,10))/10^(LEN($L103)-$M103))),""))</f>
      </c>
      <c r="F103" t="str" s="30" cm="1">
        <f t="array" ref="F103">IF($E103="","",MAX(0,$I$7-$E103))</f>
      </c>
      <c r="G103" t="str" s="30" cm="1">
        <f t="array" ref="G103">IF($E103="","",$F103*$D$7)</f>
      </c>
      <c r="H103" t="str" s="30" cm="1">
        <f t="array" ref="H103">IF($E103="","",$T103+IF(AND($V$6&gt;=$D$8,COUNT($E$11:$E103)=$V$7+1),$D$8,0))</f>
      </c>
      <c r="I103" t="str" s="30" cm="1">
        <f t="array" ref="I103">IF($D103="","",IF(ISTEXT($D103),LEN($D103)-LEN(SUBSTITUTE($D103,":","")),-1))</f>
      </c>
      <c r="J103" s="29" cm="1">
        <f t="array" ref="J103">_xlfn.IFERROR(FIND(":",$D103),0)</f>
        <v>0</v>
      </c>
      <c r="K103" s="29" cm="1">
        <f t="array" ref="K103">_xlfn.IFERROR(FIND(":",$D103,$J103+1),0)</f>
        <v>0</v>
      </c>
      <c r="L103" t="str" s="30" cm="1">
        <f t="array" ref="L103">IF($D103="","",IF($I103=2,MID($D103,$K103+1,10),IF($I103=1,MID($D103,$J103+1,10),IF($I103=0,$D103,""))))</f>
      </c>
      <c r="M103" s="29" cm="1">
        <f t="array" ref="M103">IF($L103="",0,_xlfn.IFERROR(FIND(".",SUBSTITUTE($L103,",",".")),0))</f>
        <v>0</v>
      </c>
      <c r="N103" s="29" cm="1">
        <f t="array" ref="N103">IF($E103="",10^9,$E103)</f>
        <v>1000000000</v>
      </c>
      <c r="O103" t="str" s="30" cm="1">
        <f t="array" ref="O103">IF($E103="","",SUM($E$11:$E103))</f>
      </c>
      <c r="P103" t="str" s="30" cm="1">
        <f t="array" ref="P103">IF($E103="","",($D$6/$D$7+$O103)/COUNT($E$11:$E103))</f>
      </c>
      <c r="Q103" s="29" cm="1">
        <f t="array" ref="Q103">IF($E103="",0,IF(AND($E103&lt;$P103,OR($E104="",$P103&lt;=$E104)),1,0))</f>
        <v>0</v>
      </c>
      <c r="R103" s="27" cm="1">
        <f t="array" ref="R103">IF($V$4=0,"",ROUND($V$4,1)-10+(103-11)*0.1)</f>
        <v>3154.4</v>
      </c>
      <c r="S103" s="28">
        <v>4000</v>
      </c>
      <c r="T103" t="str" s="30" cm="1">
        <f t="array" ref="T103">IF($E103="","",ROUND($G103/$D$8,0)*$D$8)</f>
      </c>
      <c r="U103" s="14"/>
      <c r="V103" s="8"/>
    </row>
    <row r="104" ht="13.55" customHeight="1">
      <c r="A104" t="str" s="30" cm="1">
        <f t="array" ref="A104">IF($E104="","",COUNT($E$11:$E104))</f>
      </c>
      <c r="B104" s="39"/>
      <c r="C104" s="39"/>
      <c r="D104" s="39"/>
      <c r="E104" t="str" s="30" cm="1">
        <f t="array" ref="E104">IF($D104="","",_xlfn.IFERROR(IF($I104=-1,IF($D104&lt;0.5,$D104*86400,IF($D104&lt;100,$D104*1440,$D104)),IF($I104=2,VALUE(LEFT($D104,$J104-1))*3600+VALUE(MID($D104,$J104+1,$K104-$J104-1))*60,IF($I104=1,VALUE(LEFT($D104,$J104-1))*60,0))+IF($M104=0,VALUE($L104),VALUE(LEFT($L104,$M104-1))+VALUE(MID($L104,$M104+1,10))/10^(LEN($L104)-$M104))),""))</f>
      </c>
      <c r="F104" t="str" s="30" cm="1">
        <f t="array" ref="F104">IF($E104="","",MAX(0,$I$7-$E104))</f>
      </c>
      <c r="G104" t="str" s="30" cm="1">
        <f t="array" ref="G104">IF($E104="","",$F104*$D$7)</f>
      </c>
      <c r="H104" t="str" s="30" cm="1">
        <f t="array" ref="H104">IF($E104="","",$T104+IF(AND($V$6&gt;=$D$8,COUNT($E$11:$E104)=$V$7+1),$D$8,0))</f>
      </c>
      <c r="I104" t="str" s="30" cm="1">
        <f t="array" ref="I104">IF($D104="","",IF(ISTEXT($D104),LEN($D104)-LEN(SUBSTITUTE($D104,":","")),-1))</f>
      </c>
      <c r="J104" s="29" cm="1">
        <f t="array" ref="J104">_xlfn.IFERROR(FIND(":",$D104),0)</f>
        <v>0</v>
      </c>
      <c r="K104" s="29" cm="1">
        <f t="array" ref="K104">_xlfn.IFERROR(FIND(":",$D104,$J104+1),0)</f>
        <v>0</v>
      </c>
      <c r="L104" t="str" s="30" cm="1">
        <f t="array" ref="L104">IF($D104="","",IF($I104=2,MID($D104,$K104+1,10),IF($I104=1,MID($D104,$J104+1,10),IF($I104=0,$D104,""))))</f>
      </c>
      <c r="M104" s="29" cm="1">
        <f t="array" ref="M104">IF($L104="",0,_xlfn.IFERROR(FIND(".",SUBSTITUTE($L104,",",".")),0))</f>
        <v>0</v>
      </c>
      <c r="N104" s="29" cm="1">
        <f t="array" ref="N104">IF($E104="",10^9,$E104)</f>
        <v>1000000000</v>
      </c>
      <c r="O104" t="str" s="30" cm="1">
        <f t="array" ref="O104">IF($E104="","",SUM($E$11:$E104))</f>
      </c>
      <c r="P104" t="str" s="30" cm="1">
        <f t="array" ref="P104">IF($E104="","",($D$6/$D$7+$O104)/COUNT($E$11:$E104))</f>
      </c>
      <c r="Q104" s="29" cm="1">
        <f t="array" ref="Q104">IF($E104="",0,IF(AND($E104&lt;$P104,OR($E105="",$P104&lt;=$E105)),1,0))</f>
        <v>0</v>
      </c>
      <c r="R104" s="27" cm="1">
        <f t="array" ref="R104">IF($V$4=0,"",ROUND($V$4,1)-10+(104-11)*0.1)</f>
        <v>3154.5</v>
      </c>
      <c r="S104" s="28">
        <v>4000</v>
      </c>
      <c r="T104" t="str" s="30" cm="1">
        <f t="array" ref="T104">IF($E104="","",ROUND($G104/$D$8,0)*$D$8)</f>
      </c>
      <c r="U104" s="14"/>
      <c r="V104" s="8"/>
    </row>
    <row r="105" ht="13.55" customHeight="1">
      <c r="A105" t="str" s="30" cm="1">
        <f t="array" ref="A105">IF($E105="","",COUNT($E$11:$E105))</f>
      </c>
      <c r="B105" s="39"/>
      <c r="C105" s="39"/>
      <c r="D105" s="39"/>
      <c r="E105" t="str" s="30" cm="1">
        <f t="array" ref="E105">IF($D105="","",_xlfn.IFERROR(IF($I105=-1,IF($D105&lt;0.5,$D105*86400,IF($D105&lt;100,$D105*1440,$D105)),IF($I105=2,VALUE(LEFT($D105,$J105-1))*3600+VALUE(MID($D105,$J105+1,$K105-$J105-1))*60,IF($I105=1,VALUE(LEFT($D105,$J105-1))*60,0))+IF($M105=0,VALUE($L105),VALUE(LEFT($L105,$M105-1))+VALUE(MID($L105,$M105+1,10))/10^(LEN($L105)-$M105))),""))</f>
      </c>
      <c r="F105" t="str" s="30" cm="1">
        <f t="array" ref="F105">IF($E105="","",MAX(0,$I$7-$E105))</f>
      </c>
      <c r="G105" t="str" s="30" cm="1">
        <f t="array" ref="G105">IF($E105="","",$F105*$D$7)</f>
      </c>
      <c r="H105" t="str" s="30" cm="1">
        <f t="array" ref="H105">IF($E105="","",$T105+IF(AND($V$6&gt;=$D$8,COUNT($E$11:$E105)=$V$7+1),$D$8,0))</f>
      </c>
      <c r="I105" t="str" s="30" cm="1">
        <f t="array" ref="I105">IF($D105="","",IF(ISTEXT($D105),LEN($D105)-LEN(SUBSTITUTE($D105,":","")),-1))</f>
      </c>
      <c r="J105" s="29" cm="1">
        <f t="array" ref="J105">_xlfn.IFERROR(FIND(":",$D105),0)</f>
        <v>0</v>
      </c>
      <c r="K105" s="29" cm="1">
        <f t="array" ref="K105">_xlfn.IFERROR(FIND(":",$D105,$J105+1),0)</f>
        <v>0</v>
      </c>
      <c r="L105" t="str" s="30" cm="1">
        <f t="array" ref="L105">IF($D105="","",IF($I105=2,MID($D105,$K105+1,10),IF($I105=1,MID($D105,$J105+1,10),IF($I105=0,$D105,""))))</f>
      </c>
      <c r="M105" s="29" cm="1">
        <f t="array" ref="M105">IF($L105="",0,_xlfn.IFERROR(FIND(".",SUBSTITUTE($L105,",",".")),0))</f>
        <v>0</v>
      </c>
      <c r="N105" s="29" cm="1">
        <f t="array" ref="N105">IF($E105="",10^9,$E105)</f>
        <v>1000000000</v>
      </c>
      <c r="O105" t="str" s="30" cm="1">
        <f t="array" ref="O105">IF($E105="","",SUM($E$11:$E105))</f>
      </c>
      <c r="P105" t="str" s="30" cm="1">
        <f t="array" ref="P105">IF($E105="","",($D$6/$D$7+$O105)/COUNT($E$11:$E105))</f>
      </c>
      <c r="Q105" s="29" cm="1">
        <f t="array" ref="Q105">IF($E105="",0,IF(AND($E105&lt;$P105,OR($E106="",$P105&lt;=$E106)),1,0))</f>
        <v>0</v>
      </c>
      <c r="R105" s="27" cm="1">
        <f t="array" ref="R105">IF($V$4=0,"",ROUND($V$4,1)-10+(105-11)*0.1)</f>
        <v>3154.6</v>
      </c>
      <c r="S105" s="28">
        <v>4000</v>
      </c>
      <c r="T105" t="str" s="30" cm="1">
        <f t="array" ref="T105">IF($E105="","",ROUND($G105/$D$8,0)*$D$8)</f>
      </c>
      <c r="U105" s="14"/>
      <c r="V105" s="8"/>
    </row>
    <row r="106" ht="13.55" customHeight="1">
      <c r="A106" t="str" s="30" cm="1">
        <f t="array" ref="A106">IF($E106="","",COUNT($E$11:$E106))</f>
      </c>
      <c r="B106" s="39"/>
      <c r="C106" s="39"/>
      <c r="D106" s="39"/>
      <c r="E106" t="str" s="30" cm="1">
        <f t="array" ref="E106">IF($D106="","",_xlfn.IFERROR(IF($I106=-1,IF($D106&lt;0.5,$D106*86400,IF($D106&lt;100,$D106*1440,$D106)),IF($I106=2,VALUE(LEFT($D106,$J106-1))*3600+VALUE(MID($D106,$J106+1,$K106-$J106-1))*60,IF($I106=1,VALUE(LEFT($D106,$J106-1))*60,0))+IF($M106=0,VALUE($L106),VALUE(LEFT($L106,$M106-1))+VALUE(MID($L106,$M106+1,10))/10^(LEN($L106)-$M106))),""))</f>
      </c>
      <c r="F106" t="str" s="30" cm="1">
        <f t="array" ref="F106">IF($E106="","",MAX(0,$I$7-$E106))</f>
      </c>
      <c r="G106" t="str" s="30" cm="1">
        <f t="array" ref="G106">IF($E106="","",$F106*$D$7)</f>
      </c>
      <c r="H106" t="str" s="30" cm="1">
        <f t="array" ref="H106">IF($E106="","",$T106+IF(AND($V$6&gt;=$D$8,COUNT($E$11:$E106)=$V$7+1),$D$8,0))</f>
      </c>
      <c r="I106" t="str" s="30" cm="1">
        <f t="array" ref="I106">IF($D106="","",IF(ISTEXT($D106),LEN($D106)-LEN(SUBSTITUTE($D106,":","")),-1))</f>
      </c>
      <c r="J106" s="29" cm="1">
        <f t="array" ref="J106">_xlfn.IFERROR(FIND(":",$D106),0)</f>
        <v>0</v>
      </c>
      <c r="K106" s="29" cm="1">
        <f t="array" ref="K106">_xlfn.IFERROR(FIND(":",$D106,$J106+1),0)</f>
        <v>0</v>
      </c>
      <c r="L106" t="str" s="30" cm="1">
        <f t="array" ref="L106">IF($D106="","",IF($I106=2,MID($D106,$K106+1,10),IF($I106=1,MID($D106,$J106+1,10),IF($I106=0,$D106,""))))</f>
      </c>
      <c r="M106" s="29" cm="1">
        <f t="array" ref="M106">IF($L106="",0,_xlfn.IFERROR(FIND(".",SUBSTITUTE($L106,",",".")),0))</f>
        <v>0</v>
      </c>
      <c r="N106" s="29" cm="1">
        <f t="array" ref="N106">IF($E106="",10^9,$E106)</f>
        <v>1000000000</v>
      </c>
      <c r="O106" t="str" s="30" cm="1">
        <f t="array" ref="O106">IF($E106="","",SUM($E$11:$E106))</f>
      </c>
      <c r="P106" t="str" s="30" cm="1">
        <f t="array" ref="P106">IF($E106="","",($D$6/$D$7+$O106)/COUNT($E$11:$E106))</f>
      </c>
      <c r="Q106" s="29" cm="1">
        <f t="array" ref="Q106">IF($E106="",0,IF(AND($E106&lt;$P106,OR($E107="",$P106&lt;=$E107)),1,0))</f>
        <v>0</v>
      </c>
      <c r="R106" s="27" cm="1">
        <f t="array" ref="R106">IF($V$4=0,"",ROUND($V$4,1)-10+(106-11)*0.1)</f>
        <v>3154.7</v>
      </c>
      <c r="S106" s="28">
        <v>4000</v>
      </c>
      <c r="T106" t="str" s="30" cm="1">
        <f t="array" ref="T106">IF($E106="","",ROUND($G106/$D$8,0)*$D$8)</f>
      </c>
      <c r="U106" s="14"/>
      <c r="V106" s="8"/>
    </row>
    <row r="107" ht="13.55" customHeight="1">
      <c r="A107" t="str" s="30" cm="1">
        <f t="array" ref="A107">IF($E107="","",COUNT($E$11:$E107))</f>
      </c>
      <c r="B107" s="39"/>
      <c r="C107" s="39"/>
      <c r="D107" s="39"/>
      <c r="E107" t="str" s="30" cm="1">
        <f t="array" ref="E107">IF($D107="","",_xlfn.IFERROR(IF($I107=-1,IF($D107&lt;0.5,$D107*86400,IF($D107&lt;100,$D107*1440,$D107)),IF($I107=2,VALUE(LEFT($D107,$J107-1))*3600+VALUE(MID($D107,$J107+1,$K107-$J107-1))*60,IF($I107=1,VALUE(LEFT($D107,$J107-1))*60,0))+IF($M107=0,VALUE($L107),VALUE(LEFT($L107,$M107-1))+VALUE(MID($L107,$M107+1,10))/10^(LEN($L107)-$M107))),""))</f>
      </c>
      <c r="F107" t="str" s="30" cm="1">
        <f t="array" ref="F107">IF($E107="","",MAX(0,$I$7-$E107))</f>
      </c>
      <c r="G107" t="str" s="30" cm="1">
        <f t="array" ref="G107">IF($E107="","",$F107*$D$7)</f>
      </c>
      <c r="H107" t="str" s="30" cm="1">
        <f t="array" ref="H107">IF($E107="","",$T107+IF(AND($V$6&gt;=$D$8,COUNT($E$11:$E107)=$V$7+1),$D$8,0))</f>
      </c>
      <c r="I107" t="str" s="30" cm="1">
        <f t="array" ref="I107">IF($D107="","",IF(ISTEXT($D107),LEN($D107)-LEN(SUBSTITUTE($D107,":","")),-1))</f>
      </c>
      <c r="J107" s="29" cm="1">
        <f t="array" ref="J107">_xlfn.IFERROR(FIND(":",$D107),0)</f>
        <v>0</v>
      </c>
      <c r="K107" s="29" cm="1">
        <f t="array" ref="K107">_xlfn.IFERROR(FIND(":",$D107,$J107+1),0)</f>
        <v>0</v>
      </c>
      <c r="L107" t="str" s="30" cm="1">
        <f t="array" ref="L107">IF($D107="","",IF($I107=2,MID($D107,$K107+1,10),IF($I107=1,MID($D107,$J107+1,10),IF($I107=0,$D107,""))))</f>
      </c>
      <c r="M107" s="29" cm="1">
        <f t="array" ref="M107">IF($L107="",0,_xlfn.IFERROR(FIND(".",SUBSTITUTE($L107,",",".")),0))</f>
        <v>0</v>
      </c>
      <c r="N107" s="29" cm="1">
        <f t="array" ref="N107">IF($E107="",10^9,$E107)</f>
        <v>1000000000</v>
      </c>
      <c r="O107" t="str" s="30" cm="1">
        <f t="array" ref="O107">IF($E107="","",SUM($E$11:$E107))</f>
      </c>
      <c r="P107" t="str" s="30" cm="1">
        <f t="array" ref="P107">IF($E107="","",($D$6/$D$7+$O107)/COUNT($E$11:$E107))</f>
      </c>
      <c r="Q107" s="29" cm="1">
        <f t="array" ref="Q107">IF($E107="",0,IF(AND($E107&lt;$P107,OR($E108="",$P107&lt;=$E108)),1,0))</f>
        <v>0</v>
      </c>
      <c r="R107" s="27" cm="1">
        <f t="array" ref="R107">IF($V$4=0,"",ROUND($V$4,1)-10+(107-11)*0.1)</f>
        <v>3154.8</v>
      </c>
      <c r="S107" s="28">
        <v>4000</v>
      </c>
      <c r="T107" t="str" s="30" cm="1">
        <f t="array" ref="T107">IF($E107="","",ROUND($G107/$D$8,0)*$D$8)</f>
      </c>
      <c r="U107" s="14"/>
      <c r="V107" s="8"/>
    </row>
    <row r="108" ht="13.55" customHeight="1">
      <c r="A108" t="str" s="30" cm="1">
        <f t="array" ref="A108">IF($E108="","",COUNT($E$11:$E108))</f>
      </c>
      <c r="B108" s="39"/>
      <c r="C108" s="39"/>
      <c r="D108" s="39"/>
      <c r="E108" t="str" s="30" cm="1">
        <f t="array" ref="E108">IF($D108="","",_xlfn.IFERROR(IF($I108=-1,IF($D108&lt;0.5,$D108*86400,IF($D108&lt;100,$D108*1440,$D108)),IF($I108=2,VALUE(LEFT($D108,$J108-1))*3600+VALUE(MID($D108,$J108+1,$K108-$J108-1))*60,IF($I108=1,VALUE(LEFT($D108,$J108-1))*60,0))+IF($M108=0,VALUE($L108),VALUE(LEFT($L108,$M108-1))+VALUE(MID($L108,$M108+1,10))/10^(LEN($L108)-$M108))),""))</f>
      </c>
      <c r="F108" t="str" s="30" cm="1">
        <f t="array" ref="F108">IF($E108="","",MAX(0,$I$7-$E108))</f>
      </c>
      <c r="G108" t="str" s="30" cm="1">
        <f t="array" ref="G108">IF($E108="","",$F108*$D$7)</f>
      </c>
      <c r="H108" t="str" s="30" cm="1">
        <f t="array" ref="H108">IF($E108="","",$T108+IF(AND($V$6&gt;=$D$8,COUNT($E$11:$E108)=$V$7+1),$D$8,0))</f>
      </c>
      <c r="I108" t="str" s="30" cm="1">
        <f t="array" ref="I108">IF($D108="","",IF(ISTEXT($D108),LEN($D108)-LEN(SUBSTITUTE($D108,":","")),-1))</f>
      </c>
      <c r="J108" s="29" cm="1">
        <f t="array" ref="J108">_xlfn.IFERROR(FIND(":",$D108),0)</f>
        <v>0</v>
      </c>
      <c r="K108" s="29" cm="1">
        <f t="array" ref="K108">_xlfn.IFERROR(FIND(":",$D108,$J108+1),0)</f>
        <v>0</v>
      </c>
      <c r="L108" t="str" s="30" cm="1">
        <f t="array" ref="L108">IF($D108="","",IF($I108=2,MID($D108,$K108+1,10),IF($I108=1,MID($D108,$J108+1,10),IF($I108=0,$D108,""))))</f>
      </c>
      <c r="M108" s="29" cm="1">
        <f t="array" ref="M108">IF($L108="",0,_xlfn.IFERROR(FIND(".",SUBSTITUTE($L108,",",".")),0))</f>
        <v>0</v>
      </c>
      <c r="N108" s="29" cm="1">
        <f t="array" ref="N108">IF($E108="",10^9,$E108)</f>
        <v>1000000000</v>
      </c>
      <c r="O108" t="str" s="30" cm="1">
        <f t="array" ref="O108">IF($E108="","",SUM($E$11:$E108))</f>
      </c>
      <c r="P108" t="str" s="30" cm="1">
        <f t="array" ref="P108">IF($E108="","",($D$6/$D$7+$O108)/COUNT($E$11:$E108))</f>
      </c>
      <c r="Q108" s="29" cm="1">
        <f t="array" ref="Q108">IF($E108="",0,IF(AND($E108&lt;$P108,OR($E109="",$P108&lt;=$E109)),1,0))</f>
        <v>0</v>
      </c>
      <c r="R108" s="27" cm="1">
        <f t="array" ref="R108">IF($V$4=0,"",ROUND($V$4,1)-10+(108-11)*0.1)</f>
        <v>3154.9</v>
      </c>
      <c r="S108" s="28">
        <v>4000</v>
      </c>
      <c r="T108" t="str" s="30" cm="1">
        <f t="array" ref="T108">IF($E108="","",ROUND($G108/$D$8,0)*$D$8)</f>
      </c>
      <c r="U108" s="14"/>
      <c r="V108" s="8"/>
    </row>
    <row r="109" ht="13.55" customHeight="1">
      <c r="A109" t="str" s="30" cm="1">
        <f t="array" ref="A109">IF($E109="","",COUNT($E$11:$E109))</f>
      </c>
      <c r="B109" s="39"/>
      <c r="C109" s="39"/>
      <c r="D109" s="39"/>
      <c r="E109" t="str" s="30" cm="1">
        <f t="array" ref="E109">IF($D109="","",_xlfn.IFERROR(IF($I109=-1,IF($D109&lt;0.5,$D109*86400,IF($D109&lt;100,$D109*1440,$D109)),IF($I109=2,VALUE(LEFT($D109,$J109-1))*3600+VALUE(MID($D109,$J109+1,$K109-$J109-1))*60,IF($I109=1,VALUE(LEFT($D109,$J109-1))*60,0))+IF($M109=0,VALUE($L109),VALUE(LEFT($L109,$M109-1))+VALUE(MID($L109,$M109+1,10))/10^(LEN($L109)-$M109))),""))</f>
      </c>
      <c r="F109" t="str" s="30" cm="1">
        <f t="array" ref="F109">IF($E109="","",MAX(0,$I$7-$E109))</f>
      </c>
      <c r="G109" t="str" s="30" cm="1">
        <f t="array" ref="G109">IF($E109="","",$F109*$D$7)</f>
      </c>
      <c r="H109" t="str" s="30" cm="1">
        <f t="array" ref="H109">IF($E109="","",$T109+IF(AND($V$6&gt;=$D$8,COUNT($E$11:$E109)=$V$7+1),$D$8,0))</f>
      </c>
      <c r="I109" t="str" s="30" cm="1">
        <f t="array" ref="I109">IF($D109="","",IF(ISTEXT($D109),LEN($D109)-LEN(SUBSTITUTE($D109,":","")),-1))</f>
      </c>
      <c r="J109" s="29" cm="1">
        <f t="array" ref="J109">_xlfn.IFERROR(FIND(":",$D109),0)</f>
        <v>0</v>
      </c>
      <c r="K109" s="29" cm="1">
        <f t="array" ref="K109">_xlfn.IFERROR(FIND(":",$D109,$J109+1),0)</f>
        <v>0</v>
      </c>
      <c r="L109" t="str" s="30" cm="1">
        <f t="array" ref="L109">IF($D109="","",IF($I109=2,MID($D109,$K109+1,10),IF($I109=1,MID($D109,$J109+1,10),IF($I109=0,$D109,""))))</f>
      </c>
      <c r="M109" s="29" cm="1">
        <f t="array" ref="M109">IF($L109="",0,_xlfn.IFERROR(FIND(".",SUBSTITUTE($L109,",",".")),0))</f>
        <v>0</v>
      </c>
      <c r="N109" s="29" cm="1">
        <f t="array" ref="N109">IF($E109="",10^9,$E109)</f>
        <v>1000000000</v>
      </c>
      <c r="O109" t="str" s="30" cm="1">
        <f t="array" ref="O109">IF($E109="","",SUM($E$11:$E109))</f>
      </c>
      <c r="P109" t="str" s="30" cm="1">
        <f t="array" ref="P109">IF($E109="","",($D$6/$D$7+$O109)/COUNT($E$11:$E109))</f>
      </c>
      <c r="Q109" s="29" cm="1">
        <f t="array" ref="Q109">IF($E109="",0,IF(AND($E109&lt;$P109,OR($E110="",$P109&lt;=$E110)),1,0))</f>
        <v>0</v>
      </c>
      <c r="R109" s="27" cm="1">
        <f t="array" ref="R109">IF($V$4=0,"",ROUND($V$4,1)-10+(109-11)*0.1)</f>
        <v>3155</v>
      </c>
      <c r="S109" s="28">
        <v>4000</v>
      </c>
      <c r="T109" t="str" s="30" cm="1">
        <f t="array" ref="T109">IF($E109="","",ROUND($G109/$D$8,0)*$D$8)</f>
      </c>
      <c r="U109" s="14"/>
      <c r="V109" s="8"/>
    </row>
    <row r="110" ht="13.55" customHeight="1">
      <c r="A110" t="str" s="30" cm="1">
        <f t="array" ref="A110">IF($E110="","",COUNT($E$11:$E110))</f>
      </c>
      <c r="B110" s="39"/>
      <c r="C110" s="39"/>
      <c r="D110" s="39"/>
      <c r="E110" t="str" s="30" cm="1">
        <f t="array" ref="E110">IF($D110="","",_xlfn.IFERROR(IF($I110=-1,IF($D110&lt;0.5,$D110*86400,IF($D110&lt;100,$D110*1440,$D110)),IF($I110=2,VALUE(LEFT($D110,$J110-1))*3600+VALUE(MID($D110,$J110+1,$K110-$J110-1))*60,IF($I110=1,VALUE(LEFT($D110,$J110-1))*60,0))+IF($M110=0,VALUE($L110),VALUE(LEFT($L110,$M110-1))+VALUE(MID($L110,$M110+1,10))/10^(LEN($L110)-$M110))),""))</f>
      </c>
      <c r="F110" t="str" s="30" cm="1">
        <f t="array" ref="F110">IF($E110="","",MAX(0,$I$7-$E110))</f>
      </c>
      <c r="G110" t="str" s="30" cm="1">
        <f t="array" ref="G110">IF($E110="","",$F110*$D$7)</f>
      </c>
      <c r="H110" t="str" s="30" cm="1">
        <f t="array" ref="H110">IF($E110="","",$T110+IF(AND($V$6&gt;=$D$8,COUNT($E$11:$E110)=$V$7+1),$D$8,0))</f>
      </c>
      <c r="I110" t="str" s="30" cm="1">
        <f t="array" ref="I110">IF($D110="","",IF(ISTEXT($D110),LEN($D110)-LEN(SUBSTITUTE($D110,":","")),-1))</f>
      </c>
      <c r="J110" s="29" cm="1">
        <f t="array" ref="J110">_xlfn.IFERROR(FIND(":",$D110),0)</f>
        <v>0</v>
      </c>
      <c r="K110" s="29" cm="1">
        <f t="array" ref="K110">_xlfn.IFERROR(FIND(":",$D110,$J110+1),0)</f>
        <v>0</v>
      </c>
      <c r="L110" t="str" s="30" cm="1">
        <f t="array" ref="L110">IF($D110="","",IF($I110=2,MID($D110,$K110+1,10),IF($I110=1,MID($D110,$J110+1,10),IF($I110=0,$D110,""))))</f>
      </c>
      <c r="M110" s="29" cm="1">
        <f t="array" ref="M110">IF($L110="",0,_xlfn.IFERROR(FIND(".",SUBSTITUTE($L110,",",".")),0))</f>
        <v>0</v>
      </c>
      <c r="N110" s="29" cm="1">
        <f t="array" ref="N110">IF($E110="",10^9,$E110)</f>
        <v>1000000000</v>
      </c>
      <c r="O110" t="str" s="30" cm="1">
        <f t="array" ref="O110">IF($E110="","",SUM($E$11:$E110))</f>
      </c>
      <c r="P110" t="str" s="30" cm="1">
        <f t="array" ref="P110">IF($E110="","",($D$6/$D$7+$O110)/COUNT($E$11:$E110))</f>
      </c>
      <c r="Q110" s="29" cm="1">
        <f t="array" ref="Q110">IF($E110="",0,IF(AND($E110&lt;$P110,OR($E111="",$P110&lt;=$E111)),1,0))</f>
        <v>0</v>
      </c>
      <c r="R110" s="27" cm="1">
        <f t="array" ref="R110">IF($V$4=0,"",ROUND($V$4,1)-10+(110-11)*0.1)</f>
        <v>3155.1</v>
      </c>
      <c r="S110" s="28">
        <v>4000</v>
      </c>
      <c r="T110" t="str" s="30" cm="1">
        <f t="array" ref="T110">IF($E110="","",ROUND($G110/$D$8,0)*$D$8)</f>
      </c>
      <c r="U110" s="14"/>
      <c r="V110" s="8"/>
    </row>
    <row r="111" ht="13.55" customHeight="1">
      <c r="A111" t="str" s="30" cm="1">
        <f t="array" ref="A111">IF($E111="","",COUNT($E$11:$E111))</f>
      </c>
      <c r="B111" s="39"/>
      <c r="C111" s="39"/>
      <c r="D111" s="39"/>
      <c r="E111" t="str" s="30" cm="1">
        <f t="array" ref="E111">IF($D111="","",_xlfn.IFERROR(IF($I111=-1,IF($D111&lt;0.5,$D111*86400,IF($D111&lt;100,$D111*1440,$D111)),IF($I111=2,VALUE(LEFT($D111,$J111-1))*3600+VALUE(MID($D111,$J111+1,$K111-$J111-1))*60,IF($I111=1,VALUE(LEFT($D111,$J111-1))*60,0))+IF($M111=0,VALUE($L111),VALUE(LEFT($L111,$M111-1))+VALUE(MID($L111,$M111+1,10))/10^(LEN($L111)-$M111))),""))</f>
      </c>
      <c r="F111" t="str" s="30" cm="1">
        <f t="array" ref="F111">IF($E111="","",MAX(0,$I$7-$E111))</f>
      </c>
      <c r="G111" t="str" s="30" cm="1">
        <f t="array" ref="G111">IF($E111="","",$F111*$D$7)</f>
      </c>
      <c r="H111" t="str" s="30" cm="1">
        <f t="array" ref="H111">IF($E111="","",$T111+IF(AND($V$6&gt;=$D$8,COUNT($E$11:$E111)=$V$7+1),$D$8,0))</f>
      </c>
      <c r="I111" t="str" s="30" cm="1">
        <f t="array" ref="I111">IF($D111="","",IF(ISTEXT($D111),LEN($D111)-LEN(SUBSTITUTE($D111,":","")),-1))</f>
      </c>
      <c r="J111" s="29" cm="1">
        <f t="array" ref="J111">_xlfn.IFERROR(FIND(":",$D111),0)</f>
        <v>0</v>
      </c>
      <c r="K111" s="29" cm="1">
        <f t="array" ref="K111">_xlfn.IFERROR(FIND(":",$D111,$J111+1),0)</f>
        <v>0</v>
      </c>
      <c r="L111" t="str" s="30" cm="1">
        <f t="array" ref="L111">IF($D111="","",IF($I111=2,MID($D111,$K111+1,10),IF($I111=1,MID($D111,$J111+1,10),IF($I111=0,$D111,""))))</f>
      </c>
      <c r="M111" s="29" cm="1">
        <f t="array" ref="M111">IF($L111="",0,_xlfn.IFERROR(FIND(".",SUBSTITUTE($L111,",",".")),0))</f>
        <v>0</v>
      </c>
      <c r="N111" s="29" cm="1">
        <f t="array" ref="N111">IF($E111="",10^9,$E111)</f>
        <v>1000000000</v>
      </c>
      <c r="O111" t="str" s="30" cm="1">
        <f t="array" ref="O111">IF($E111="","",SUM($E$11:$E111))</f>
      </c>
      <c r="P111" t="str" s="30" cm="1">
        <f t="array" ref="P111">IF($E111="","",($D$6/$D$7+$O111)/COUNT($E$11:$E111))</f>
      </c>
      <c r="Q111" s="29" cm="1">
        <f t="array" ref="Q111">IF($E111="",0,IF(AND($E111&lt;$P111,OR($E112="",$P111&lt;=$E112)),1,0))</f>
        <v>0</v>
      </c>
      <c r="R111" s="27" cm="1">
        <f t="array" ref="R111">IF($V$4=0,"",ROUND($V$4,1)-10+(111-11)*0.1)</f>
        <v>3155.2</v>
      </c>
      <c r="S111" s="28">
        <v>4000</v>
      </c>
      <c r="T111" t="str" s="30" cm="1">
        <f t="array" ref="T111">IF($E111="","",ROUND($G111/$D$8,0)*$D$8)</f>
      </c>
      <c r="U111" s="14"/>
      <c r="V111" s="8"/>
    </row>
    <row r="112" ht="13.55" customHeight="1">
      <c r="A112" t="str" s="30" cm="1">
        <f t="array" ref="A112">IF($E112="","",COUNT($E$11:$E112))</f>
      </c>
      <c r="B112" s="39"/>
      <c r="C112" s="39"/>
      <c r="D112" s="39"/>
      <c r="E112" t="str" s="30" cm="1">
        <f t="array" ref="E112">IF($D112="","",_xlfn.IFERROR(IF($I112=-1,IF($D112&lt;0.5,$D112*86400,IF($D112&lt;100,$D112*1440,$D112)),IF($I112=2,VALUE(LEFT($D112,$J112-1))*3600+VALUE(MID($D112,$J112+1,$K112-$J112-1))*60,IF($I112=1,VALUE(LEFT($D112,$J112-1))*60,0))+IF($M112=0,VALUE($L112),VALUE(LEFT($L112,$M112-1))+VALUE(MID($L112,$M112+1,10))/10^(LEN($L112)-$M112))),""))</f>
      </c>
      <c r="F112" t="str" s="30" cm="1">
        <f t="array" ref="F112">IF($E112="","",MAX(0,$I$7-$E112))</f>
      </c>
      <c r="G112" t="str" s="30" cm="1">
        <f t="array" ref="G112">IF($E112="","",$F112*$D$7)</f>
      </c>
      <c r="H112" t="str" s="30" cm="1">
        <f t="array" ref="H112">IF($E112="","",$T112+IF(AND($V$6&gt;=$D$8,COUNT($E$11:$E112)=$V$7+1),$D$8,0))</f>
      </c>
      <c r="I112" t="str" s="30" cm="1">
        <f t="array" ref="I112">IF($D112="","",IF(ISTEXT($D112),LEN($D112)-LEN(SUBSTITUTE($D112,":","")),-1))</f>
      </c>
      <c r="J112" s="29" cm="1">
        <f t="array" ref="J112">_xlfn.IFERROR(FIND(":",$D112),0)</f>
        <v>0</v>
      </c>
      <c r="K112" s="29" cm="1">
        <f t="array" ref="K112">_xlfn.IFERROR(FIND(":",$D112,$J112+1),0)</f>
        <v>0</v>
      </c>
      <c r="L112" t="str" s="30" cm="1">
        <f t="array" ref="L112">IF($D112="","",IF($I112=2,MID($D112,$K112+1,10),IF($I112=1,MID($D112,$J112+1,10),IF($I112=0,$D112,""))))</f>
      </c>
      <c r="M112" s="29" cm="1">
        <f t="array" ref="M112">IF($L112="",0,_xlfn.IFERROR(FIND(".",SUBSTITUTE($L112,",",".")),0))</f>
        <v>0</v>
      </c>
      <c r="N112" s="29" cm="1">
        <f t="array" ref="N112">IF($E112="",10^9,$E112)</f>
        <v>1000000000</v>
      </c>
      <c r="O112" t="str" s="30" cm="1">
        <f t="array" ref="O112">IF($E112="","",SUM($E$11:$E112))</f>
      </c>
      <c r="P112" t="str" s="30" cm="1">
        <f t="array" ref="P112">IF($E112="","",($D$6/$D$7+$O112)/COUNT($E$11:$E112))</f>
      </c>
      <c r="Q112" s="29" cm="1">
        <f t="array" ref="Q112">IF($E112="",0,IF(AND($E112&lt;$P112,OR($E113="",$P112&lt;=$E113)),1,0))</f>
        <v>0</v>
      </c>
      <c r="R112" s="27" cm="1">
        <f t="array" ref="R112">IF($V$4=0,"",ROUND($V$4,1)-10+(112-11)*0.1)</f>
        <v>3155.3</v>
      </c>
      <c r="S112" s="28">
        <v>4000</v>
      </c>
      <c r="T112" t="str" s="30" cm="1">
        <f t="array" ref="T112">IF($E112="","",ROUND($G112/$D$8,0)*$D$8)</f>
      </c>
      <c r="U112" s="14"/>
      <c r="V112" s="8"/>
    </row>
    <row r="113" ht="13.55" customHeight="1">
      <c r="A113" t="str" s="30" cm="1">
        <f t="array" ref="A113">IF($E113="","",COUNT($E$11:$E113))</f>
      </c>
      <c r="B113" s="39"/>
      <c r="C113" s="39"/>
      <c r="D113" s="39"/>
      <c r="E113" t="str" s="30" cm="1">
        <f t="array" ref="E113">IF($D113="","",_xlfn.IFERROR(IF($I113=-1,IF($D113&lt;0.5,$D113*86400,IF($D113&lt;100,$D113*1440,$D113)),IF($I113=2,VALUE(LEFT($D113,$J113-1))*3600+VALUE(MID($D113,$J113+1,$K113-$J113-1))*60,IF($I113=1,VALUE(LEFT($D113,$J113-1))*60,0))+IF($M113=0,VALUE($L113),VALUE(LEFT($L113,$M113-1))+VALUE(MID($L113,$M113+1,10))/10^(LEN($L113)-$M113))),""))</f>
      </c>
      <c r="F113" t="str" s="30" cm="1">
        <f t="array" ref="F113">IF($E113="","",MAX(0,$I$7-$E113))</f>
      </c>
      <c r="G113" t="str" s="30" cm="1">
        <f t="array" ref="G113">IF($E113="","",$F113*$D$7)</f>
      </c>
      <c r="H113" t="str" s="30" cm="1">
        <f t="array" ref="H113">IF($E113="","",$T113+IF(AND($V$6&gt;=$D$8,COUNT($E$11:$E113)=$V$7+1),$D$8,0))</f>
      </c>
      <c r="I113" t="str" s="30" cm="1">
        <f t="array" ref="I113">IF($D113="","",IF(ISTEXT($D113),LEN($D113)-LEN(SUBSTITUTE($D113,":","")),-1))</f>
      </c>
      <c r="J113" s="29" cm="1">
        <f t="array" ref="J113">_xlfn.IFERROR(FIND(":",$D113),0)</f>
        <v>0</v>
      </c>
      <c r="K113" s="29" cm="1">
        <f t="array" ref="K113">_xlfn.IFERROR(FIND(":",$D113,$J113+1),0)</f>
        <v>0</v>
      </c>
      <c r="L113" t="str" s="30" cm="1">
        <f t="array" ref="L113">IF($D113="","",IF($I113=2,MID($D113,$K113+1,10),IF($I113=1,MID($D113,$J113+1,10),IF($I113=0,$D113,""))))</f>
      </c>
      <c r="M113" s="29" cm="1">
        <f t="array" ref="M113">IF($L113="",0,_xlfn.IFERROR(FIND(".",SUBSTITUTE($L113,",",".")),0))</f>
        <v>0</v>
      </c>
      <c r="N113" s="29" cm="1">
        <f t="array" ref="N113">IF($E113="",10^9,$E113)</f>
        <v>1000000000</v>
      </c>
      <c r="O113" t="str" s="30" cm="1">
        <f t="array" ref="O113">IF($E113="","",SUM($E$11:$E113))</f>
      </c>
      <c r="P113" t="str" s="30" cm="1">
        <f t="array" ref="P113">IF($E113="","",($D$6/$D$7+$O113)/COUNT($E$11:$E113))</f>
      </c>
      <c r="Q113" s="29" cm="1">
        <f t="array" ref="Q113">IF($E113="",0,IF(AND($E113&lt;$P113,OR($E114="",$P113&lt;=$E114)),1,0))</f>
        <v>0</v>
      </c>
      <c r="R113" s="27" cm="1">
        <f t="array" ref="R113">IF($V$4=0,"",ROUND($V$4,1)-10+(113-11)*0.1)</f>
        <v>3155.4</v>
      </c>
      <c r="S113" s="28">
        <v>4000</v>
      </c>
      <c r="T113" t="str" s="30" cm="1">
        <f t="array" ref="T113">IF($E113="","",ROUND($G113/$D$8,0)*$D$8)</f>
      </c>
      <c r="U113" s="14"/>
      <c r="V113" s="8"/>
    </row>
    <row r="114" ht="13.55" customHeight="1">
      <c r="A114" t="str" s="30" cm="1">
        <f t="array" ref="A114">IF($E114="","",COUNT($E$11:$E114))</f>
      </c>
      <c r="B114" s="39"/>
      <c r="C114" s="39"/>
      <c r="D114" s="39"/>
      <c r="E114" t="str" s="30" cm="1">
        <f t="array" ref="E114">IF($D114="","",_xlfn.IFERROR(IF($I114=-1,IF($D114&lt;0.5,$D114*86400,IF($D114&lt;100,$D114*1440,$D114)),IF($I114=2,VALUE(LEFT($D114,$J114-1))*3600+VALUE(MID($D114,$J114+1,$K114-$J114-1))*60,IF($I114=1,VALUE(LEFT($D114,$J114-1))*60,0))+IF($M114=0,VALUE($L114),VALUE(LEFT($L114,$M114-1))+VALUE(MID($L114,$M114+1,10))/10^(LEN($L114)-$M114))),""))</f>
      </c>
      <c r="F114" t="str" s="30" cm="1">
        <f t="array" ref="F114">IF($E114="","",MAX(0,$I$7-$E114))</f>
      </c>
      <c r="G114" t="str" s="30" cm="1">
        <f t="array" ref="G114">IF($E114="","",$F114*$D$7)</f>
      </c>
      <c r="H114" t="str" s="30" cm="1">
        <f t="array" ref="H114">IF($E114="","",$T114+IF(AND($V$6&gt;=$D$8,COUNT($E$11:$E114)=$V$7+1),$D$8,0))</f>
      </c>
      <c r="I114" t="str" s="30" cm="1">
        <f t="array" ref="I114">IF($D114="","",IF(ISTEXT($D114),LEN($D114)-LEN(SUBSTITUTE($D114,":","")),-1))</f>
      </c>
      <c r="J114" s="29" cm="1">
        <f t="array" ref="J114">_xlfn.IFERROR(FIND(":",$D114),0)</f>
        <v>0</v>
      </c>
      <c r="K114" s="29" cm="1">
        <f t="array" ref="K114">_xlfn.IFERROR(FIND(":",$D114,$J114+1),0)</f>
        <v>0</v>
      </c>
      <c r="L114" t="str" s="30" cm="1">
        <f t="array" ref="L114">IF($D114="","",IF($I114=2,MID($D114,$K114+1,10),IF($I114=1,MID($D114,$J114+1,10),IF($I114=0,$D114,""))))</f>
      </c>
      <c r="M114" s="29" cm="1">
        <f t="array" ref="M114">IF($L114="",0,_xlfn.IFERROR(FIND(".",SUBSTITUTE($L114,",",".")),0))</f>
        <v>0</v>
      </c>
      <c r="N114" s="29" cm="1">
        <f t="array" ref="N114">IF($E114="",10^9,$E114)</f>
        <v>1000000000</v>
      </c>
      <c r="O114" t="str" s="30" cm="1">
        <f t="array" ref="O114">IF($E114="","",SUM($E$11:$E114))</f>
      </c>
      <c r="P114" t="str" s="30" cm="1">
        <f t="array" ref="P114">IF($E114="","",($D$6/$D$7+$O114)/COUNT($E$11:$E114))</f>
      </c>
      <c r="Q114" s="29" cm="1">
        <f t="array" ref="Q114">IF($E114="",0,IF(AND($E114&lt;$P114,OR($E115="",$P114&lt;=$E115)),1,0))</f>
        <v>0</v>
      </c>
      <c r="R114" s="27" cm="1">
        <f t="array" ref="R114">IF($V$4=0,"",ROUND($V$4,1)-10+(114-11)*0.1)</f>
        <v>3155.5</v>
      </c>
      <c r="S114" s="28">
        <v>4000</v>
      </c>
      <c r="T114" t="str" s="30" cm="1">
        <f t="array" ref="T114">IF($E114="","",ROUND($G114/$D$8,0)*$D$8)</f>
      </c>
      <c r="U114" s="14"/>
      <c r="V114" s="8"/>
    </row>
    <row r="115" ht="13.55" customHeight="1">
      <c r="A115" t="str" s="30" cm="1">
        <f t="array" ref="A115">IF($E115="","",COUNT($E$11:$E115))</f>
      </c>
      <c r="B115" s="39"/>
      <c r="C115" s="39"/>
      <c r="D115" s="39"/>
      <c r="E115" t="str" s="30" cm="1">
        <f t="array" ref="E115">IF($D115="","",_xlfn.IFERROR(IF($I115=-1,IF($D115&lt;0.5,$D115*86400,IF($D115&lt;100,$D115*1440,$D115)),IF($I115=2,VALUE(LEFT($D115,$J115-1))*3600+VALUE(MID($D115,$J115+1,$K115-$J115-1))*60,IF($I115=1,VALUE(LEFT($D115,$J115-1))*60,0))+IF($M115=0,VALUE($L115),VALUE(LEFT($L115,$M115-1))+VALUE(MID($L115,$M115+1,10))/10^(LEN($L115)-$M115))),""))</f>
      </c>
      <c r="F115" t="str" s="30" cm="1">
        <f t="array" ref="F115">IF($E115="","",MAX(0,$I$7-$E115))</f>
      </c>
      <c r="G115" t="str" s="30" cm="1">
        <f t="array" ref="G115">IF($E115="","",$F115*$D$7)</f>
      </c>
      <c r="H115" t="str" s="30" cm="1">
        <f t="array" ref="H115">IF($E115="","",$T115+IF(AND($V$6&gt;=$D$8,COUNT($E$11:$E115)=$V$7+1),$D$8,0))</f>
      </c>
      <c r="I115" t="str" s="30" cm="1">
        <f t="array" ref="I115">IF($D115="","",IF(ISTEXT($D115),LEN($D115)-LEN(SUBSTITUTE($D115,":","")),-1))</f>
      </c>
      <c r="J115" s="29" cm="1">
        <f t="array" ref="J115">_xlfn.IFERROR(FIND(":",$D115),0)</f>
        <v>0</v>
      </c>
      <c r="K115" s="29" cm="1">
        <f t="array" ref="K115">_xlfn.IFERROR(FIND(":",$D115,$J115+1),0)</f>
        <v>0</v>
      </c>
      <c r="L115" t="str" s="30" cm="1">
        <f t="array" ref="L115">IF($D115="","",IF($I115=2,MID($D115,$K115+1,10),IF($I115=1,MID($D115,$J115+1,10),IF($I115=0,$D115,""))))</f>
      </c>
      <c r="M115" s="29" cm="1">
        <f t="array" ref="M115">IF($L115="",0,_xlfn.IFERROR(FIND(".",SUBSTITUTE($L115,",",".")),0))</f>
        <v>0</v>
      </c>
      <c r="N115" s="29" cm="1">
        <f t="array" ref="N115">IF($E115="",10^9,$E115)</f>
        <v>1000000000</v>
      </c>
      <c r="O115" t="str" s="30" cm="1">
        <f t="array" ref="O115">IF($E115="","",SUM($E$11:$E115))</f>
      </c>
      <c r="P115" t="str" s="30" cm="1">
        <f t="array" ref="P115">IF($E115="","",($D$6/$D$7+$O115)/COUNT($E$11:$E115))</f>
      </c>
      <c r="Q115" s="29" cm="1">
        <f t="array" ref="Q115">IF($E115="",0,IF(AND($E115&lt;$P115,OR($E116="",$P115&lt;=$E116)),1,0))</f>
        <v>0</v>
      </c>
      <c r="R115" s="27" cm="1">
        <f t="array" ref="R115">IF($V$4=0,"",ROUND($V$4,1)-10+(115-11)*0.1)</f>
        <v>3155.6</v>
      </c>
      <c r="S115" s="28">
        <v>4000</v>
      </c>
      <c r="T115" t="str" s="30" cm="1">
        <f t="array" ref="T115">IF($E115="","",ROUND($G115/$D$8,0)*$D$8)</f>
      </c>
      <c r="U115" s="14"/>
      <c r="V115" s="8"/>
    </row>
    <row r="116" ht="13.55" customHeight="1">
      <c r="A116" t="str" s="30" cm="1">
        <f t="array" ref="A116">IF($E116="","",COUNT($E$11:$E116))</f>
      </c>
      <c r="B116" s="39"/>
      <c r="C116" s="39"/>
      <c r="D116" s="39"/>
      <c r="E116" t="str" s="30" cm="1">
        <f t="array" ref="E116">IF($D116="","",_xlfn.IFERROR(IF($I116=-1,IF($D116&lt;0.5,$D116*86400,IF($D116&lt;100,$D116*1440,$D116)),IF($I116=2,VALUE(LEFT($D116,$J116-1))*3600+VALUE(MID($D116,$J116+1,$K116-$J116-1))*60,IF($I116=1,VALUE(LEFT($D116,$J116-1))*60,0))+IF($M116=0,VALUE($L116),VALUE(LEFT($L116,$M116-1))+VALUE(MID($L116,$M116+1,10))/10^(LEN($L116)-$M116))),""))</f>
      </c>
      <c r="F116" t="str" s="30" cm="1">
        <f t="array" ref="F116">IF($E116="","",MAX(0,$I$7-$E116))</f>
      </c>
      <c r="G116" t="str" s="30" cm="1">
        <f t="array" ref="G116">IF($E116="","",$F116*$D$7)</f>
      </c>
      <c r="H116" t="str" s="30" cm="1">
        <f t="array" ref="H116">IF($E116="","",$T116+IF(AND($V$6&gt;=$D$8,COUNT($E$11:$E116)=$V$7+1),$D$8,0))</f>
      </c>
      <c r="I116" t="str" s="30" cm="1">
        <f t="array" ref="I116">IF($D116="","",IF(ISTEXT($D116),LEN($D116)-LEN(SUBSTITUTE($D116,":","")),-1))</f>
      </c>
      <c r="J116" s="29" cm="1">
        <f t="array" ref="J116">_xlfn.IFERROR(FIND(":",$D116),0)</f>
        <v>0</v>
      </c>
      <c r="K116" s="29" cm="1">
        <f t="array" ref="K116">_xlfn.IFERROR(FIND(":",$D116,$J116+1),0)</f>
        <v>0</v>
      </c>
      <c r="L116" t="str" s="30" cm="1">
        <f t="array" ref="L116">IF($D116="","",IF($I116=2,MID($D116,$K116+1,10),IF($I116=1,MID($D116,$J116+1,10),IF($I116=0,$D116,""))))</f>
      </c>
      <c r="M116" s="29" cm="1">
        <f t="array" ref="M116">IF($L116="",0,_xlfn.IFERROR(FIND(".",SUBSTITUTE($L116,",",".")),0))</f>
        <v>0</v>
      </c>
      <c r="N116" s="29" cm="1">
        <f t="array" ref="N116">IF($E116="",10^9,$E116)</f>
        <v>1000000000</v>
      </c>
      <c r="O116" t="str" s="30" cm="1">
        <f t="array" ref="O116">IF($E116="","",SUM($E$11:$E116))</f>
      </c>
      <c r="P116" t="str" s="30" cm="1">
        <f t="array" ref="P116">IF($E116="","",($D$6/$D$7+$O116)/COUNT($E$11:$E116))</f>
      </c>
      <c r="Q116" s="29" cm="1">
        <f t="array" ref="Q116">IF($E116="",0,IF(AND($E116&lt;$P116,OR($E117="",$P116&lt;=$E117)),1,0))</f>
        <v>0</v>
      </c>
      <c r="R116" s="27" cm="1">
        <f t="array" ref="R116">IF($V$4=0,"",ROUND($V$4,1)-10+(116-11)*0.1)</f>
        <v>3155.7</v>
      </c>
      <c r="S116" s="28">
        <v>4000</v>
      </c>
      <c r="T116" t="str" s="30" cm="1">
        <f t="array" ref="T116">IF($E116="","",ROUND($G116/$D$8,0)*$D$8)</f>
      </c>
      <c r="U116" s="14"/>
      <c r="V116" s="8"/>
    </row>
    <row r="117" ht="13.55" customHeight="1">
      <c r="A117" t="str" s="30" cm="1">
        <f t="array" ref="A117">IF($E117="","",COUNT($E$11:$E117))</f>
      </c>
      <c r="B117" s="39"/>
      <c r="C117" s="39"/>
      <c r="D117" s="39"/>
      <c r="E117" t="str" s="30" cm="1">
        <f t="array" ref="E117">IF($D117="","",_xlfn.IFERROR(IF($I117=-1,IF($D117&lt;0.5,$D117*86400,IF($D117&lt;100,$D117*1440,$D117)),IF($I117=2,VALUE(LEFT($D117,$J117-1))*3600+VALUE(MID($D117,$J117+1,$K117-$J117-1))*60,IF($I117=1,VALUE(LEFT($D117,$J117-1))*60,0))+IF($M117=0,VALUE($L117),VALUE(LEFT($L117,$M117-1))+VALUE(MID($L117,$M117+1,10))/10^(LEN($L117)-$M117))),""))</f>
      </c>
      <c r="F117" t="str" s="30" cm="1">
        <f t="array" ref="F117">IF($E117="","",MAX(0,$I$7-$E117))</f>
      </c>
      <c r="G117" t="str" s="30" cm="1">
        <f t="array" ref="G117">IF($E117="","",$F117*$D$7)</f>
      </c>
      <c r="H117" t="str" s="30" cm="1">
        <f t="array" ref="H117">IF($E117="","",$T117+IF(AND($V$6&gt;=$D$8,COUNT($E$11:$E117)=$V$7+1),$D$8,0))</f>
      </c>
      <c r="I117" t="str" s="30" cm="1">
        <f t="array" ref="I117">IF($D117="","",IF(ISTEXT($D117),LEN($D117)-LEN(SUBSTITUTE($D117,":","")),-1))</f>
      </c>
      <c r="J117" s="29" cm="1">
        <f t="array" ref="J117">_xlfn.IFERROR(FIND(":",$D117),0)</f>
        <v>0</v>
      </c>
      <c r="K117" s="29" cm="1">
        <f t="array" ref="K117">_xlfn.IFERROR(FIND(":",$D117,$J117+1),0)</f>
        <v>0</v>
      </c>
      <c r="L117" t="str" s="30" cm="1">
        <f t="array" ref="L117">IF($D117="","",IF($I117=2,MID($D117,$K117+1,10),IF($I117=1,MID($D117,$J117+1,10),IF($I117=0,$D117,""))))</f>
      </c>
      <c r="M117" s="29" cm="1">
        <f t="array" ref="M117">IF($L117="",0,_xlfn.IFERROR(FIND(".",SUBSTITUTE($L117,",",".")),0))</f>
        <v>0</v>
      </c>
      <c r="N117" s="29" cm="1">
        <f t="array" ref="N117">IF($E117="",10^9,$E117)</f>
        <v>1000000000</v>
      </c>
      <c r="O117" t="str" s="30" cm="1">
        <f t="array" ref="O117">IF($E117="","",SUM($E$11:$E117))</f>
      </c>
      <c r="P117" t="str" s="30" cm="1">
        <f t="array" ref="P117">IF($E117="","",($D$6/$D$7+$O117)/COUNT($E$11:$E117))</f>
      </c>
      <c r="Q117" s="29" cm="1">
        <f t="array" ref="Q117">IF($E117="",0,IF(AND($E117&lt;$P117,OR($E118="",$P117&lt;=$E118)),1,0))</f>
        <v>0</v>
      </c>
      <c r="R117" s="27" cm="1">
        <f t="array" ref="R117">IF($V$4=0,"",ROUND($V$4,1)-10+(117-11)*0.1)</f>
        <v>3155.8</v>
      </c>
      <c r="S117" s="28">
        <v>4000</v>
      </c>
      <c r="T117" t="str" s="30" cm="1">
        <f t="array" ref="T117">IF($E117="","",ROUND($G117/$D$8,0)*$D$8)</f>
      </c>
      <c r="U117" s="14"/>
      <c r="V117" s="8"/>
    </row>
    <row r="118" ht="13.55" customHeight="1">
      <c r="A118" t="str" s="30" cm="1">
        <f t="array" ref="A118">IF($E118="","",COUNT($E$11:$E118))</f>
      </c>
      <c r="B118" s="39"/>
      <c r="C118" s="39"/>
      <c r="D118" s="39"/>
      <c r="E118" t="str" s="30" cm="1">
        <f t="array" ref="E118">IF($D118="","",_xlfn.IFERROR(IF($I118=-1,IF($D118&lt;0.5,$D118*86400,IF($D118&lt;100,$D118*1440,$D118)),IF($I118=2,VALUE(LEFT($D118,$J118-1))*3600+VALUE(MID($D118,$J118+1,$K118-$J118-1))*60,IF($I118=1,VALUE(LEFT($D118,$J118-1))*60,0))+IF($M118=0,VALUE($L118),VALUE(LEFT($L118,$M118-1))+VALUE(MID($L118,$M118+1,10))/10^(LEN($L118)-$M118))),""))</f>
      </c>
      <c r="F118" t="str" s="30" cm="1">
        <f t="array" ref="F118">IF($E118="","",MAX(0,$I$7-$E118))</f>
      </c>
      <c r="G118" t="str" s="30" cm="1">
        <f t="array" ref="G118">IF($E118="","",$F118*$D$7)</f>
      </c>
      <c r="H118" t="str" s="30" cm="1">
        <f t="array" ref="H118">IF($E118="","",$T118+IF(AND($V$6&gt;=$D$8,COUNT($E$11:$E118)=$V$7+1),$D$8,0))</f>
      </c>
      <c r="I118" t="str" s="30" cm="1">
        <f t="array" ref="I118">IF($D118="","",IF(ISTEXT($D118),LEN($D118)-LEN(SUBSTITUTE($D118,":","")),-1))</f>
      </c>
      <c r="J118" s="29" cm="1">
        <f t="array" ref="J118">_xlfn.IFERROR(FIND(":",$D118),0)</f>
        <v>0</v>
      </c>
      <c r="K118" s="29" cm="1">
        <f t="array" ref="K118">_xlfn.IFERROR(FIND(":",$D118,$J118+1),0)</f>
        <v>0</v>
      </c>
      <c r="L118" t="str" s="30" cm="1">
        <f t="array" ref="L118">IF($D118="","",IF($I118=2,MID($D118,$K118+1,10),IF($I118=1,MID($D118,$J118+1,10),IF($I118=0,$D118,""))))</f>
      </c>
      <c r="M118" s="29" cm="1">
        <f t="array" ref="M118">IF($L118="",0,_xlfn.IFERROR(FIND(".",SUBSTITUTE($L118,",",".")),0))</f>
        <v>0</v>
      </c>
      <c r="N118" s="29" cm="1">
        <f t="array" ref="N118">IF($E118="",10^9,$E118)</f>
        <v>1000000000</v>
      </c>
      <c r="O118" t="str" s="30" cm="1">
        <f t="array" ref="O118">IF($E118="","",SUM($E$11:$E118))</f>
      </c>
      <c r="P118" t="str" s="30" cm="1">
        <f t="array" ref="P118">IF($E118="","",($D$6/$D$7+$O118)/COUNT($E$11:$E118))</f>
      </c>
      <c r="Q118" s="29" cm="1">
        <f t="array" ref="Q118">IF($E118="",0,IF(AND($E118&lt;$P118,OR($E119="",$P118&lt;=$E119)),1,0))</f>
        <v>0</v>
      </c>
      <c r="R118" s="27" cm="1">
        <f t="array" ref="R118">IF($V$4=0,"",ROUND($V$4,1)-10+(118-11)*0.1)</f>
        <v>3155.9</v>
      </c>
      <c r="S118" s="28">
        <v>4000</v>
      </c>
      <c r="T118" t="str" s="30" cm="1">
        <f t="array" ref="T118">IF($E118="","",ROUND($G118/$D$8,0)*$D$8)</f>
      </c>
      <c r="U118" s="14"/>
      <c r="V118" s="8"/>
    </row>
    <row r="119" ht="13.55" customHeight="1">
      <c r="A119" t="str" s="30" cm="1">
        <f t="array" ref="A119">IF($E119="","",COUNT($E$11:$E119))</f>
      </c>
      <c r="B119" s="39"/>
      <c r="C119" s="39"/>
      <c r="D119" s="39"/>
      <c r="E119" t="str" s="30" cm="1">
        <f t="array" ref="E119">IF($D119="","",_xlfn.IFERROR(IF($I119=-1,IF($D119&lt;0.5,$D119*86400,IF($D119&lt;100,$D119*1440,$D119)),IF($I119=2,VALUE(LEFT($D119,$J119-1))*3600+VALUE(MID($D119,$J119+1,$K119-$J119-1))*60,IF($I119=1,VALUE(LEFT($D119,$J119-1))*60,0))+IF($M119=0,VALUE($L119),VALUE(LEFT($L119,$M119-1))+VALUE(MID($L119,$M119+1,10))/10^(LEN($L119)-$M119))),""))</f>
      </c>
      <c r="F119" t="str" s="30" cm="1">
        <f t="array" ref="F119">IF($E119="","",MAX(0,$I$7-$E119))</f>
      </c>
      <c r="G119" t="str" s="30" cm="1">
        <f t="array" ref="G119">IF($E119="","",$F119*$D$7)</f>
      </c>
      <c r="H119" t="str" s="30" cm="1">
        <f t="array" ref="H119">IF($E119="","",$T119+IF(AND($V$6&gt;=$D$8,COUNT($E$11:$E119)=$V$7+1),$D$8,0))</f>
      </c>
      <c r="I119" t="str" s="30" cm="1">
        <f t="array" ref="I119">IF($D119="","",IF(ISTEXT($D119),LEN($D119)-LEN(SUBSTITUTE($D119,":","")),-1))</f>
      </c>
      <c r="J119" s="29" cm="1">
        <f t="array" ref="J119">_xlfn.IFERROR(FIND(":",$D119),0)</f>
        <v>0</v>
      </c>
      <c r="K119" s="29" cm="1">
        <f t="array" ref="K119">_xlfn.IFERROR(FIND(":",$D119,$J119+1),0)</f>
        <v>0</v>
      </c>
      <c r="L119" t="str" s="30" cm="1">
        <f t="array" ref="L119">IF($D119="","",IF($I119=2,MID($D119,$K119+1,10),IF($I119=1,MID($D119,$J119+1,10),IF($I119=0,$D119,""))))</f>
      </c>
      <c r="M119" s="29" cm="1">
        <f t="array" ref="M119">IF($L119="",0,_xlfn.IFERROR(FIND(".",SUBSTITUTE($L119,",",".")),0))</f>
        <v>0</v>
      </c>
      <c r="N119" s="29" cm="1">
        <f t="array" ref="N119">IF($E119="",10^9,$E119)</f>
        <v>1000000000</v>
      </c>
      <c r="O119" t="str" s="30" cm="1">
        <f t="array" ref="O119">IF($E119="","",SUM($E$11:$E119))</f>
      </c>
      <c r="P119" t="str" s="30" cm="1">
        <f t="array" ref="P119">IF($E119="","",($D$6/$D$7+$O119)/COUNT($E$11:$E119))</f>
      </c>
      <c r="Q119" s="29" cm="1">
        <f t="array" ref="Q119">IF($E119="",0,IF(AND($E119&lt;$P119,OR($E120="",$P119&lt;=$E120)),1,0))</f>
        <v>0</v>
      </c>
      <c r="R119" s="27" cm="1">
        <f t="array" ref="R119">IF($V$4=0,"",ROUND($V$4,1)-10+(119-11)*0.1)</f>
        <v>3156</v>
      </c>
      <c r="S119" s="28">
        <v>4000</v>
      </c>
      <c r="T119" t="str" s="30" cm="1">
        <f t="array" ref="T119">IF($E119="","",ROUND($G119/$D$8,0)*$D$8)</f>
      </c>
      <c r="U119" s="14"/>
      <c r="V119" s="8"/>
    </row>
    <row r="120" ht="13.55" customHeight="1">
      <c r="A120" t="str" s="30" cm="1">
        <f t="array" ref="A120">IF($E120="","",COUNT($E$11:$E120))</f>
      </c>
      <c r="B120" s="39"/>
      <c r="C120" s="39"/>
      <c r="D120" s="39"/>
      <c r="E120" t="str" s="30" cm="1">
        <f t="array" ref="E120">IF($D120="","",_xlfn.IFERROR(IF($I120=-1,IF($D120&lt;0.5,$D120*86400,IF($D120&lt;100,$D120*1440,$D120)),IF($I120=2,VALUE(LEFT($D120,$J120-1))*3600+VALUE(MID($D120,$J120+1,$K120-$J120-1))*60,IF($I120=1,VALUE(LEFT($D120,$J120-1))*60,0))+IF($M120=0,VALUE($L120),VALUE(LEFT($L120,$M120-1))+VALUE(MID($L120,$M120+1,10))/10^(LEN($L120)-$M120))),""))</f>
      </c>
      <c r="F120" t="str" s="30" cm="1">
        <f t="array" ref="F120">IF($E120="","",MAX(0,$I$7-$E120))</f>
      </c>
      <c r="G120" t="str" s="30" cm="1">
        <f t="array" ref="G120">IF($E120="","",$F120*$D$7)</f>
      </c>
      <c r="H120" t="str" s="30" cm="1">
        <f t="array" ref="H120">IF($E120="","",$T120+IF(AND($V$6&gt;=$D$8,COUNT($E$11:$E120)=$V$7+1),$D$8,0))</f>
      </c>
      <c r="I120" t="str" s="30" cm="1">
        <f t="array" ref="I120">IF($D120="","",IF(ISTEXT($D120),LEN($D120)-LEN(SUBSTITUTE($D120,":","")),-1))</f>
      </c>
      <c r="J120" s="29" cm="1">
        <f t="array" ref="J120">_xlfn.IFERROR(FIND(":",$D120),0)</f>
        <v>0</v>
      </c>
      <c r="K120" s="29" cm="1">
        <f t="array" ref="K120">_xlfn.IFERROR(FIND(":",$D120,$J120+1),0)</f>
        <v>0</v>
      </c>
      <c r="L120" t="str" s="30" cm="1">
        <f t="array" ref="L120">IF($D120="","",IF($I120=2,MID($D120,$K120+1,10),IF($I120=1,MID($D120,$J120+1,10),IF($I120=0,$D120,""))))</f>
      </c>
      <c r="M120" s="29" cm="1">
        <f t="array" ref="M120">IF($L120="",0,_xlfn.IFERROR(FIND(".",SUBSTITUTE($L120,",",".")),0))</f>
        <v>0</v>
      </c>
      <c r="N120" s="29" cm="1">
        <f t="array" ref="N120">IF($E120="",10^9,$E120)</f>
        <v>1000000000</v>
      </c>
      <c r="O120" t="str" s="30" cm="1">
        <f t="array" ref="O120">IF($E120="","",SUM($E$11:$E120))</f>
      </c>
      <c r="P120" t="str" s="30" cm="1">
        <f t="array" ref="P120">IF($E120="","",($D$6/$D$7+$O120)/COUNT($E$11:$E120))</f>
      </c>
      <c r="Q120" s="29" cm="1">
        <f t="array" ref="Q120">IF($E120="",0,IF(AND($E120&lt;$P120,OR($E121="",$P120&lt;=$E121)),1,0))</f>
        <v>0</v>
      </c>
      <c r="R120" s="27" cm="1">
        <f t="array" ref="R120">IF($V$4=0,"",ROUND($V$4,1)-10+(120-11)*0.1)</f>
        <v>3156.1</v>
      </c>
      <c r="S120" s="28">
        <v>4000</v>
      </c>
      <c r="T120" t="str" s="30" cm="1">
        <f t="array" ref="T120">IF($E120="","",ROUND($G120/$D$8,0)*$D$8)</f>
      </c>
      <c r="U120" s="14"/>
      <c r="V120" s="8"/>
    </row>
    <row r="121" ht="13.55" customHeight="1">
      <c r="A121" t="str" s="30" cm="1">
        <f t="array" ref="A121">IF($E121="","",COUNT($E$11:$E121))</f>
      </c>
      <c r="B121" s="39"/>
      <c r="C121" s="39"/>
      <c r="D121" s="39"/>
      <c r="E121" t="str" s="30" cm="1">
        <f t="array" ref="E121">IF($D121="","",_xlfn.IFERROR(IF($I121=-1,IF($D121&lt;0.5,$D121*86400,IF($D121&lt;100,$D121*1440,$D121)),IF($I121=2,VALUE(LEFT($D121,$J121-1))*3600+VALUE(MID($D121,$J121+1,$K121-$J121-1))*60,IF($I121=1,VALUE(LEFT($D121,$J121-1))*60,0))+IF($M121=0,VALUE($L121),VALUE(LEFT($L121,$M121-1))+VALUE(MID($L121,$M121+1,10))/10^(LEN($L121)-$M121))),""))</f>
      </c>
      <c r="F121" t="str" s="30" cm="1">
        <f t="array" ref="F121">IF($E121="","",MAX(0,$I$7-$E121))</f>
      </c>
      <c r="G121" t="str" s="30" cm="1">
        <f t="array" ref="G121">IF($E121="","",$F121*$D$7)</f>
      </c>
      <c r="H121" t="str" s="30" cm="1">
        <f t="array" ref="H121">IF($E121="","",$T121+IF(AND($V$6&gt;=$D$8,COUNT($E$11:$E121)=$V$7+1),$D$8,0))</f>
      </c>
      <c r="I121" t="str" s="30" cm="1">
        <f t="array" ref="I121">IF($D121="","",IF(ISTEXT($D121),LEN($D121)-LEN(SUBSTITUTE($D121,":","")),-1))</f>
      </c>
      <c r="J121" s="29" cm="1">
        <f t="array" ref="J121">_xlfn.IFERROR(FIND(":",$D121),0)</f>
        <v>0</v>
      </c>
      <c r="K121" s="29" cm="1">
        <f t="array" ref="K121">_xlfn.IFERROR(FIND(":",$D121,$J121+1),0)</f>
        <v>0</v>
      </c>
      <c r="L121" t="str" s="30" cm="1">
        <f t="array" ref="L121">IF($D121="","",IF($I121=2,MID($D121,$K121+1,10),IF($I121=1,MID($D121,$J121+1,10),IF($I121=0,$D121,""))))</f>
      </c>
      <c r="M121" s="29" cm="1">
        <f t="array" ref="M121">IF($L121="",0,_xlfn.IFERROR(FIND(".",SUBSTITUTE($L121,",",".")),0))</f>
        <v>0</v>
      </c>
      <c r="N121" s="29" cm="1">
        <f t="array" ref="N121">IF($E121="",10^9,$E121)</f>
        <v>1000000000</v>
      </c>
      <c r="O121" t="str" s="30" cm="1">
        <f t="array" ref="O121">IF($E121="","",SUM($E$11:$E121))</f>
      </c>
      <c r="P121" t="str" s="30" cm="1">
        <f t="array" ref="P121">IF($E121="","",($D$6/$D$7+$O121)/COUNT($E$11:$E121))</f>
      </c>
      <c r="Q121" s="29" cm="1">
        <f t="array" ref="Q121">IF($E121="",0,IF(AND($E121&lt;$P121,OR($E122="",$P121&lt;=$E122)),1,0))</f>
        <v>0</v>
      </c>
      <c r="R121" s="27" cm="1">
        <f t="array" ref="R121">IF($V$4=0,"",ROUND($V$4,1)-10+(121-11)*0.1)</f>
        <v>3156.2</v>
      </c>
      <c r="S121" s="28">
        <v>4000</v>
      </c>
      <c r="T121" t="str" s="30" cm="1">
        <f t="array" ref="T121">IF($E121="","",ROUND($G121/$D$8,0)*$D$8)</f>
      </c>
      <c r="U121" s="14"/>
      <c r="V121" s="8"/>
    </row>
    <row r="122" ht="13.55" customHeight="1">
      <c r="A122" t="str" s="30" cm="1">
        <f t="array" ref="A122">IF($E122="","",COUNT($E$11:$E122))</f>
      </c>
      <c r="B122" s="39"/>
      <c r="C122" s="39"/>
      <c r="D122" s="39"/>
      <c r="E122" t="str" s="30" cm="1">
        <f t="array" ref="E122">IF($D122="","",_xlfn.IFERROR(IF($I122=-1,IF($D122&lt;0.5,$D122*86400,IF($D122&lt;100,$D122*1440,$D122)),IF($I122=2,VALUE(LEFT($D122,$J122-1))*3600+VALUE(MID($D122,$J122+1,$K122-$J122-1))*60,IF($I122=1,VALUE(LEFT($D122,$J122-1))*60,0))+IF($M122=0,VALUE($L122),VALUE(LEFT($L122,$M122-1))+VALUE(MID($L122,$M122+1,10))/10^(LEN($L122)-$M122))),""))</f>
      </c>
      <c r="F122" t="str" s="30" cm="1">
        <f t="array" ref="F122">IF($E122="","",MAX(0,$I$7-$E122))</f>
      </c>
      <c r="G122" t="str" s="30" cm="1">
        <f t="array" ref="G122">IF($E122="","",$F122*$D$7)</f>
      </c>
      <c r="H122" t="str" s="30" cm="1">
        <f t="array" ref="H122">IF($E122="","",$T122+IF(AND($V$6&gt;=$D$8,COUNT($E$11:$E122)=$V$7+1),$D$8,0))</f>
      </c>
      <c r="I122" t="str" s="30" cm="1">
        <f t="array" ref="I122">IF($D122="","",IF(ISTEXT($D122),LEN($D122)-LEN(SUBSTITUTE($D122,":","")),-1))</f>
      </c>
      <c r="J122" s="29" cm="1">
        <f t="array" ref="J122">_xlfn.IFERROR(FIND(":",$D122),0)</f>
        <v>0</v>
      </c>
      <c r="K122" s="29" cm="1">
        <f t="array" ref="K122">_xlfn.IFERROR(FIND(":",$D122,$J122+1),0)</f>
        <v>0</v>
      </c>
      <c r="L122" t="str" s="30" cm="1">
        <f t="array" ref="L122">IF($D122="","",IF($I122=2,MID($D122,$K122+1,10),IF($I122=1,MID($D122,$J122+1,10),IF($I122=0,$D122,""))))</f>
      </c>
      <c r="M122" s="29" cm="1">
        <f t="array" ref="M122">IF($L122="",0,_xlfn.IFERROR(FIND(".",SUBSTITUTE($L122,",",".")),0))</f>
        <v>0</v>
      </c>
      <c r="N122" s="29" cm="1">
        <f t="array" ref="N122">IF($E122="",10^9,$E122)</f>
        <v>1000000000</v>
      </c>
      <c r="O122" t="str" s="30" cm="1">
        <f t="array" ref="O122">IF($E122="","",SUM($E$11:$E122))</f>
      </c>
      <c r="P122" t="str" s="30" cm="1">
        <f t="array" ref="P122">IF($E122="","",($D$6/$D$7+$O122)/COUNT($E$11:$E122))</f>
      </c>
      <c r="Q122" s="29" cm="1">
        <f t="array" ref="Q122">IF($E122="",0,IF(AND($E122&lt;$P122,OR($E123="",$P122&lt;=$E123)),1,0))</f>
        <v>0</v>
      </c>
      <c r="R122" s="27" cm="1">
        <f t="array" ref="R122">IF($V$4=0,"",ROUND($V$4,1)-10+(122-11)*0.1)</f>
        <v>3156.3</v>
      </c>
      <c r="S122" s="28">
        <v>4000</v>
      </c>
      <c r="T122" t="str" s="30" cm="1">
        <f t="array" ref="T122">IF($E122="","",ROUND($G122/$D$8,0)*$D$8)</f>
      </c>
      <c r="U122" s="14"/>
      <c r="V122" s="8"/>
    </row>
    <row r="123" ht="13.55" customHeight="1">
      <c r="A123" t="str" s="30" cm="1">
        <f t="array" ref="A123">IF($E123="","",COUNT($E$11:$E123))</f>
      </c>
      <c r="B123" s="39"/>
      <c r="C123" s="39"/>
      <c r="D123" s="39"/>
      <c r="E123" t="str" s="30" cm="1">
        <f t="array" ref="E123">IF($D123="","",_xlfn.IFERROR(IF($I123=-1,IF($D123&lt;0.5,$D123*86400,IF($D123&lt;100,$D123*1440,$D123)),IF($I123=2,VALUE(LEFT($D123,$J123-1))*3600+VALUE(MID($D123,$J123+1,$K123-$J123-1))*60,IF($I123=1,VALUE(LEFT($D123,$J123-1))*60,0))+IF($M123=0,VALUE($L123),VALUE(LEFT($L123,$M123-1))+VALUE(MID($L123,$M123+1,10))/10^(LEN($L123)-$M123))),""))</f>
      </c>
      <c r="F123" t="str" s="30" cm="1">
        <f t="array" ref="F123">IF($E123="","",MAX(0,$I$7-$E123))</f>
      </c>
      <c r="G123" t="str" s="30" cm="1">
        <f t="array" ref="G123">IF($E123="","",$F123*$D$7)</f>
      </c>
      <c r="H123" t="str" s="30" cm="1">
        <f t="array" ref="H123">IF($E123="","",$T123+IF(AND($V$6&gt;=$D$8,COUNT($E$11:$E123)=$V$7+1),$D$8,0))</f>
      </c>
      <c r="I123" t="str" s="30" cm="1">
        <f t="array" ref="I123">IF($D123="","",IF(ISTEXT($D123),LEN($D123)-LEN(SUBSTITUTE($D123,":","")),-1))</f>
      </c>
      <c r="J123" s="29" cm="1">
        <f t="array" ref="J123">_xlfn.IFERROR(FIND(":",$D123),0)</f>
        <v>0</v>
      </c>
      <c r="K123" s="29" cm="1">
        <f t="array" ref="K123">_xlfn.IFERROR(FIND(":",$D123,$J123+1),0)</f>
        <v>0</v>
      </c>
      <c r="L123" t="str" s="30" cm="1">
        <f t="array" ref="L123">IF($D123="","",IF($I123=2,MID($D123,$K123+1,10),IF($I123=1,MID($D123,$J123+1,10),IF($I123=0,$D123,""))))</f>
      </c>
      <c r="M123" s="29" cm="1">
        <f t="array" ref="M123">IF($L123="",0,_xlfn.IFERROR(FIND(".",SUBSTITUTE($L123,",",".")),0))</f>
        <v>0</v>
      </c>
      <c r="N123" s="29" cm="1">
        <f t="array" ref="N123">IF($E123="",10^9,$E123)</f>
        <v>1000000000</v>
      </c>
      <c r="O123" t="str" s="30" cm="1">
        <f t="array" ref="O123">IF($E123="","",SUM($E$11:$E123))</f>
      </c>
      <c r="P123" t="str" s="30" cm="1">
        <f t="array" ref="P123">IF($E123="","",($D$6/$D$7+$O123)/COUNT($E$11:$E123))</f>
      </c>
      <c r="Q123" s="29" cm="1">
        <f t="array" ref="Q123">IF($E123="",0,IF(AND($E123&lt;$P123,OR($E124="",$P123&lt;=$E124)),1,0))</f>
        <v>0</v>
      </c>
      <c r="R123" s="27" cm="1">
        <f t="array" ref="R123">IF($V$4=0,"",ROUND($V$4,1)-10+(123-11)*0.1)</f>
        <v>3156.4</v>
      </c>
      <c r="S123" s="28">
        <v>4000</v>
      </c>
      <c r="T123" t="str" s="30" cm="1">
        <f t="array" ref="T123">IF($E123="","",ROUND($G123/$D$8,0)*$D$8)</f>
      </c>
      <c r="U123" s="14"/>
      <c r="V123" s="8"/>
    </row>
    <row r="124" ht="13.55" customHeight="1">
      <c r="A124" t="str" s="30" cm="1">
        <f t="array" ref="A124">IF($E124="","",COUNT($E$11:$E124))</f>
      </c>
      <c r="B124" s="39"/>
      <c r="C124" s="39"/>
      <c r="D124" s="39"/>
      <c r="E124" t="str" s="30" cm="1">
        <f t="array" ref="E124">IF($D124="","",_xlfn.IFERROR(IF($I124=-1,IF($D124&lt;0.5,$D124*86400,IF($D124&lt;100,$D124*1440,$D124)),IF($I124=2,VALUE(LEFT($D124,$J124-1))*3600+VALUE(MID($D124,$J124+1,$K124-$J124-1))*60,IF($I124=1,VALUE(LEFT($D124,$J124-1))*60,0))+IF($M124=0,VALUE($L124),VALUE(LEFT($L124,$M124-1))+VALUE(MID($L124,$M124+1,10))/10^(LEN($L124)-$M124))),""))</f>
      </c>
      <c r="F124" t="str" s="30" cm="1">
        <f t="array" ref="F124">IF($E124="","",MAX(0,$I$7-$E124))</f>
      </c>
      <c r="G124" t="str" s="30" cm="1">
        <f t="array" ref="G124">IF($E124="","",$F124*$D$7)</f>
      </c>
      <c r="H124" t="str" s="30" cm="1">
        <f t="array" ref="H124">IF($E124="","",$T124+IF(AND($V$6&gt;=$D$8,COUNT($E$11:$E124)=$V$7+1),$D$8,0))</f>
      </c>
      <c r="I124" t="str" s="30" cm="1">
        <f t="array" ref="I124">IF($D124="","",IF(ISTEXT($D124),LEN($D124)-LEN(SUBSTITUTE($D124,":","")),-1))</f>
      </c>
      <c r="J124" s="29" cm="1">
        <f t="array" ref="J124">_xlfn.IFERROR(FIND(":",$D124),0)</f>
        <v>0</v>
      </c>
      <c r="K124" s="29" cm="1">
        <f t="array" ref="K124">_xlfn.IFERROR(FIND(":",$D124,$J124+1),0)</f>
        <v>0</v>
      </c>
      <c r="L124" t="str" s="30" cm="1">
        <f t="array" ref="L124">IF($D124="","",IF($I124=2,MID($D124,$K124+1,10),IF($I124=1,MID($D124,$J124+1,10),IF($I124=0,$D124,""))))</f>
      </c>
      <c r="M124" s="29" cm="1">
        <f t="array" ref="M124">IF($L124="",0,_xlfn.IFERROR(FIND(".",SUBSTITUTE($L124,",",".")),0))</f>
        <v>0</v>
      </c>
      <c r="N124" s="29" cm="1">
        <f t="array" ref="N124">IF($E124="",10^9,$E124)</f>
        <v>1000000000</v>
      </c>
      <c r="O124" t="str" s="30" cm="1">
        <f t="array" ref="O124">IF($E124="","",SUM($E$11:$E124))</f>
      </c>
      <c r="P124" t="str" s="30" cm="1">
        <f t="array" ref="P124">IF($E124="","",($D$6/$D$7+$O124)/COUNT($E$11:$E124))</f>
      </c>
      <c r="Q124" s="29" cm="1">
        <f t="array" ref="Q124">IF($E124="",0,IF(AND($E124&lt;$P124,OR($E125="",$P124&lt;=$E125)),1,0))</f>
        <v>0</v>
      </c>
      <c r="R124" s="27" cm="1">
        <f t="array" ref="R124">IF($V$4=0,"",ROUND($V$4,1)-10+(124-11)*0.1)</f>
        <v>3156.5</v>
      </c>
      <c r="S124" s="28">
        <v>4000</v>
      </c>
      <c r="T124" t="str" s="30" cm="1">
        <f t="array" ref="T124">IF($E124="","",ROUND($G124/$D$8,0)*$D$8)</f>
      </c>
      <c r="U124" s="14"/>
      <c r="V124" s="8"/>
    </row>
    <row r="125" ht="13.55" customHeight="1">
      <c r="A125" t="str" s="30" cm="1">
        <f t="array" ref="A125">IF($E125="","",COUNT($E$11:$E125))</f>
      </c>
      <c r="B125" s="39"/>
      <c r="C125" s="39"/>
      <c r="D125" s="39"/>
      <c r="E125" t="str" s="30" cm="1">
        <f t="array" ref="E125">IF($D125="","",_xlfn.IFERROR(IF($I125=-1,IF($D125&lt;0.5,$D125*86400,IF($D125&lt;100,$D125*1440,$D125)),IF($I125=2,VALUE(LEFT($D125,$J125-1))*3600+VALUE(MID($D125,$J125+1,$K125-$J125-1))*60,IF($I125=1,VALUE(LEFT($D125,$J125-1))*60,0))+IF($M125=0,VALUE($L125),VALUE(LEFT($L125,$M125-1))+VALUE(MID($L125,$M125+1,10))/10^(LEN($L125)-$M125))),""))</f>
      </c>
      <c r="F125" t="str" s="30" cm="1">
        <f t="array" ref="F125">IF($E125="","",MAX(0,$I$7-$E125))</f>
      </c>
      <c r="G125" t="str" s="30" cm="1">
        <f t="array" ref="G125">IF($E125="","",$F125*$D$7)</f>
      </c>
      <c r="H125" t="str" s="30" cm="1">
        <f t="array" ref="H125">IF($E125="","",$T125+IF(AND($V$6&gt;=$D$8,COUNT($E$11:$E125)=$V$7+1),$D$8,0))</f>
      </c>
      <c r="I125" t="str" s="30" cm="1">
        <f t="array" ref="I125">IF($D125="","",IF(ISTEXT($D125),LEN($D125)-LEN(SUBSTITUTE($D125,":","")),-1))</f>
      </c>
      <c r="J125" s="29" cm="1">
        <f t="array" ref="J125">_xlfn.IFERROR(FIND(":",$D125),0)</f>
        <v>0</v>
      </c>
      <c r="K125" s="29" cm="1">
        <f t="array" ref="K125">_xlfn.IFERROR(FIND(":",$D125,$J125+1),0)</f>
        <v>0</v>
      </c>
      <c r="L125" t="str" s="30" cm="1">
        <f t="array" ref="L125">IF($D125="","",IF($I125=2,MID($D125,$K125+1,10),IF($I125=1,MID($D125,$J125+1,10),IF($I125=0,$D125,""))))</f>
      </c>
      <c r="M125" s="29" cm="1">
        <f t="array" ref="M125">IF($L125="",0,_xlfn.IFERROR(FIND(".",SUBSTITUTE($L125,",",".")),0))</f>
        <v>0</v>
      </c>
      <c r="N125" s="29" cm="1">
        <f t="array" ref="N125">IF($E125="",10^9,$E125)</f>
        <v>1000000000</v>
      </c>
      <c r="O125" t="str" s="30" cm="1">
        <f t="array" ref="O125">IF($E125="","",SUM($E$11:$E125))</f>
      </c>
      <c r="P125" t="str" s="30" cm="1">
        <f t="array" ref="P125">IF($E125="","",($D$6/$D$7+$O125)/COUNT($E$11:$E125))</f>
      </c>
      <c r="Q125" s="29" cm="1">
        <f t="array" ref="Q125">IF($E125="",0,IF(AND($E125&lt;$P125,OR($E126="",$P125&lt;=$E126)),1,0))</f>
        <v>0</v>
      </c>
      <c r="R125" s="27" cm="1">
        <f t="array" ref="R125">IF($V$4=0,"",ROUND($V$4,1)-10+(125-11)*0.1)</f>
        <v>3156.6</v>
      </c>
      <c r="S125" s="28">
        <v>4000</v>
      </c>
      <c r="T125" t="str" s="30" cm="1">
        <f t="array" ref="T125">IF($E125="","",ROUND($G125/$D$8,0)*$D$8)</f>
      </c>
      <c r="U125" s="14"/>
      <c r="V125" s="8"/>
    </row>
    <row r="126" ht="13.55" customHeight="1">
      <c r="A126" t="str" s="30" cm="1">
        <f t="array" ref="A126">IF($E126="","",COUNT($E$11:$E126))</f>
      </c>
      <c r="B126" s="39"/>
      <c r="C126" s="39"/>
      <c r="D126" s="39"/>
      <c r="E126" t="str" s="30" cm="1">
        <f t="array" ref="E126">IF($D126="","",_xlfn.IFERROR(IF($I126=-1,IF($D126&lt;0.5,$D126*86400,IF($D126&lt;100,$D126*1440,$D126)),IF($I126=2,VALUE(LEFT($D126,$J126-1))*3600+VALUE(MID($D126,$J126+1,$K126-$J126-1))*60,IF($I126=1,VALUE(LEFT($D126,$J126-1))*60,0))+IF($M126=0,VALUE($L126),VALUE(LEFT($L126,$M126-1))+VALUE(MID($L126,$M126+1,10))/10^(LEN($L126)-$M126))),""))</f>
      </c>
      <c r="F126" t="str" s="30" cm="1">
        <f t="array" ref="F126">IF($E126="","",MAX(0,$I$7-$E126))</f>
      </c>
      <c r="G126" t="str" s="30" cm="1">
        <f t="array" ref="G126">IF($E126="","",$F126*$D$7)</f>
      </c>
      <c r="H126" t="str" s="30" cm="1">
        <f t="array" ref="H126">IF($E126="","",$T126+IF(AND($V$6&gt;=$D$8,COUNT($E$11:$E126)=$V$7+1),$D$8,0))</f>
      </c>
      <c r="I126" t="str" s="30" cm="1">
        <f t="array" ref="I126">IF($D126="","",IF(ISTEXT($D126),LEN($D126)-LEN(SUBSTITUTE($D126,":","")),-1))</f>
      </c>
      <c r="J126" s="29" cm="1">
        <f t="array" ref="J126">_xlfn.IFERROR(FIND(":",$D126),0)</f>
        <v>0</v>
      </c>
      <c r="K126" s="29" cm="1">
        <f t="array" ref="K126">_xlfn.IFERROR(FIND(":",$D126,$J126+1),0)</f>
        <v>0</v>
      </c>
      <c r="L126" t="str" s="30" cm="1">
        <f t="array" ref="L126">IF($D126="","",IF($I126=2,MID($D126,$K126+1,10),IF($I126=1,MID($D126,$J126+1,10),IF($I126=0,$D126,""))))</f>
      </c>
      <c r="M126" s="29" cm="1">
        <f t="array" ref="M126">IF($L126="",0,_xlfn.IFERROR(FIND(".",SUBSTITUTE($L126,",",".")),0))</f>
        <v>0</v>
      </c>
      <c r="N126" s="29" cm="1">
        <f t="array" ref="N126">IF($E126="",10^9,$E126)</f>
        <v>1000000000</v>
      </c>
      <c r="O126" t="str" s="30" cm="1">
        <f t="array" ref="O126">IF($E126="","",SUM($E$11:$E126))</f>
      </c>
      <c r="P126" t="str" s="30" cm="1">
        <f t="array" ref="P126">IF($E126="","",($D$6/$D$7+$O126)/COUNT($E$11:$E126))</f>
      </c>
      <c r="Q126" s="29" cm="1">
        <f t="array" ref="Q126">IF($E126="",0,IF(AND($E126&lt;$P126,OR($E127="",$P126&lt;=$E127)),1,0))</f>
        <v>0</v>
      </c>
      <c r="R126" s="27" cm="1">
        <f t="array" ref="R126">IF($V$4=0,"",ROUND($V$4,1)-10+(126-11)*0.1)</f>
        <v>3156.7</v>
      </c>
      <c r="S126" s="28">
        <v>4000</v>
      </c>
      <c r="T126" t="str" s="30" cm="1">
        <f t="array" ref="T126">IF($E126="","",ROUND($G126/$D$8,0)*$D$8)</f>
      </c>
      <c r="U126" s="14"/>
      <c r="V126" s="8"/>
    </row>
    <row r="127" ht="13.55" customHeight="1">
      <c r="A127" t="str" s="30" cm="1">
        <f t="array" ref="A127">IF($E127="","",COUNT($E$11:$E127))</f>
      </c>
      <c r="B127" s="39"/>
      <c r="C127" s="39"/>
      <c r="D127" s="39"/>
      <c r="E127" t="str" s="30" cm="1">
        <f t="array" ref="E127">IF($D127="","",_xlfn.IFERROR(IF($I127=-1,IF($D127&lt;0.5,$D127*86400,IF($D127&lt;100,$D127*1440,$D127)),IF($I127=2,VALUE(LEFT($D127,$J127-1))*3600+VALUE(MID($D127,$J127+1,$K127-$J127-1))*60,IF($I127=1,VALUE(LEFT($D127,$J127-1))*60,0))+IF($M127=0,VALUE($L127),VALUE(LEFT($L127,$M127-1))+VALUE(MID($L127,$M127+1,10))/10^(LEN($L127)-$M127))),""))</f>
      </c>
      <c r="F127" t="str" s="30" cm="1">
        <f t="array" ref="F127">IF($E127="","",MAX(0,$I$7-$E127))</f>
      </c>
      <c r="G127" t="str" s="30" cm="1">
        <f t="array" ref="G127">IF($E127="","",$F127*$D$7)</f>
      </c>
      <c r="H127" t="str" s="30" cm="1">
        <f t="array" ref="H127">IF($E127="","",$T127+IF(AND($V$6&gt;=$D$8,COUNT($E$11:$E127)=$V$7+1),$D$8,0))</f>
      </c>
      <c r="I127" t="str" s="30" cm="1">
        <f t="array" ref="I127">IF($D127="","",IF(ISTEXT($D127),LEN($D127)-LEN(SUBSTITUTE($D127,":","")),-1))</f>
      </c>
      <c r="J127" s="29" cm="1">
        <f t="array" ref="J127">_xlfn.IFERROR(FIND(":",$D127),0)</f>
        <v>0</v>
      </c>
      <c r="K127" s="29" cm="1">
        <f t="array" ref="K127">_xlfn.IFERROR(FIND(":",$D127,$J127+1),0)</f>
        <v>0</v>
      </c>
      <c r="L127" t="str" s="30" cm="1">
        <f t="array" ref="L127">IF($D127="","",IF($I127=2,MID($D127,$K127+1,10),IF($I127=1,MID($D127,$J127+1,10),IF($I127=0,$D127,""))))</f>
      </c>
      <c r="M127" s="29" cm="1">
        <f t="array" ref="M127">IF($L127="",0,_xlfn.IFERROR(FIND(".",SUBSTITUTE($L127,",",".")),0))</f>
        <v>0</v>
      </c>
      <c r="N127" s="29" cm="1">
        <f t="array" ref="N127">IF($E127="",10^9,$E127)</f>
        <v>1000000000</v>
      </c>
      <c r="O127" t="str" s="30" cm="1">
        <f t="array" ref="O127">IF($E127="","",SUM($E$11:$E127))</f>
      </c>
      <c r="P127" t="str" s="30" cm="1">
        <f t="array" ref="P127">IF($E127="","",($D$6/$D$7+$O127)/COUNT($E$11:$E127))</f>
      </c>
      <c r="Q127" s="29" cm="1">
        <f t="array" ref="Q127">IF($E127="",0,IF(AND($E127&lt;$P127,OR($E128="",$P127&lt;=$E128)),1,0))</f>
        <v>0</v>
      </c>
      <c r="R127" s="27" cm="1">
        <f t="array" ref="R127">IF($V$4=0,"",ROUND($V$4,1)-10+(127-11)*0.1)</f>
        <v>3156.8</v>
      </c>
      <c r="S127" s="28">
        <v>4000</v>
      </c>
      <c r="T127" t="str" s="30" cm="1">
        <f t="array" ref="T127">IF($E127="","",ROUND($G127/$D$8,0)*$D$8)</f>
      </c>
      <c r="U127" s="14"/>
      <c r="V127" s="8"/>
    </row>
    <row r="128" ht="13.55" customHeight="1">
      <c r="A128" t="str" s="30" cm="1">
        <f t="array" ref="A128">IF($E128="","",COUNT($E$11:$E128))</f>
      </c>
      <c r="B128" s="39"/>
      <c r="C128" s="39"/>
      <c r="D128" s="39"/>
      <c r="E128" t="str" s="30" cm="1">
        <f t="array" ref="E128">IF($D128="","",_xlfn.IFERROR(IF($I128=-1,IF($D128&lt;0.5,$D128*86400,IF($D128&lt;100,$D128*1440,$D128)),IF($I128=2,VALUE(LEFT($D128,$J128-1))*3600+VALUE(MID($D128,$J128+1,$K128-$J128-1))*60,IF($I128=1,VALUE(LEFT($D128,$J128-1))*60,0))+IF($M128=0,VALUE($L128),VALUE(LEFT($L128,$M128-1))+VALUE(MID($L128,$M128+1,10))/10^(LEN($L128)-$M128))),""))</f>
      </c>
      <c r="F128" t="str" s="30" cm="1">
        <f t="array" ref="F128">IF($E128="","",MAX(0,$I$7-$E128))</f>
      </c>
      <c r="G128" t="str" s="30" cm="1">
        <f t="array" ref="G128">IF($E128="","",$F128*$D$7)</f>
      </c>
      <c r="H128" t="str" s="30" cm="1">
        <f t="array" ref="H128">IF($E128="","",$T128+IF(AND($V$6&gt;=$D$8,COUNT($E$11:$E128)=$V$7+1),$D$8,0))</f>
      </c>
      <c r="I128" t="str" s="30" cm="1">
        <f t="array" ref="I128">IF($D128="","",IF(ISTEXT($D128),LEN($D128)-LEN(SUBSTITUTE($D128,":","")),-1))</f>
      </c>
      <c r="J128" s="29" cm="1">
        <f t="array" ref="J128">_xlfn.IFERROR(FIND(":",$D128),0)</f>
        <v>0</v>
      </c>
      <c r="K128" s="29" cm="1">
        <f t="array" ref="K128">_xlfn.IFERROR(FIND(":",$D128,$J128+1),0)</f>
        <v>0</v>
      </c>
      <c r="L128" t="str" s="30" cm="1">
        <f t="array" ref="L128">IF($D128="","",IF($I128=2,MID($D128,$K128+1,10),IF($I128=1,MID($D128,$J128+1,10),IF($I128=0,$D128,""))))</f>
      </c>
      <c r="M128" s="29" cm="1">
        <f t="array" ref="M128">IF($L128="",0,_xlfn.IFERROR(FIND(".",SUBSTITUTE($L128,",",".")),0))</f>
        <v>0</v>
      </c>
      <c r="N128" s="29" cm="1">
        <f t="array" ref="N128">IF($E128="",10^9,$E128)</f>
        <v>1000000000</v>
      </c>
      <c r="O128" t="str" s="30" cm="1">
        <f t="array" ref="O128">IF($E128="","",SUM($E$11:$E128))</f>
      </c>
      <c r="P128" t="str" s="30" cm="1">
        <f t="array" ref="P128">IF($E128="","",($D$6/$D$7+$O128)/COUNT($E$11:$E128))</f>
      </c>
      <c r="Q128" s="29" cm="1">
        <f t="array" ref="Q128">IF($E128="",0,IF(AND($E128&lt;$P128,OR($E129="",$P128&lt;=$E129)),1,0))</f>
        <v>0</v>
      </c>
      <c r="R128" s="27" cm="1">
        <f t="array" ref="R128">IF($V$4=0,"",ROUND($V$4,1)-10+(128-11)*0.1)</f>
        <v>3156.9</v>
      </c>
      <c r="S128" s="28">
        <v>4000</v>
      </c>
      <c r="T128" t="str" s="30" cm="1">
        <f t="array" ref="T128">IF($E128="","",ROUND($G128/$D$8,0)*$D$8)</f>
      </c>
      <c r="U128" s="14"/>
      <c r="V128" s="8"/>
    </row>
    <row r="129" ht="13.55" customHeight="1">
      <c r="A129" t="str" s="30" cm="1">
        <f t="array" ref="A129">IF($E129="","",COUNT($E$11:$E129))</f>
      </c>
      <c r="B129" s="39"/>
      <c r="C129" s="39"/>
      <c r="D129" s="39"/>
      <c r="E129" t="str" s="30" cm="1">
        <f t="array" ref="E129">IF($D129="","",_xlfn.IFERROR(IF($I129=-1,IF($D129&lt;0.5,$D129*86400,IF($D129&lt;100,$D129*1440,$D129)),IF($I129=2,VALUE(LEFT($D129,$J129-1))*3600+VALUE(MID($D129,$J129+1,$K129-$J129-1))*60,IF($I129=1,VALUE(LEFT($D129,$J129-1))*60,0))+IF($M129=0,VALUE($L129),VALUE(LEFT($L129,$M129-1))+VALUE(MID($L129,$M129+1,10))/10^(LEN($L129)-$M129))),""))</f>
      </c>
      <c r="F129" t="str" s="30" cm="1">
        <f t="array" ref="F129">IF($E129="","",MAX(0,$I$7-$E129))</f>
      </c>
      <c r="G129" t="str" s="30" cm="1">
        <f t="array" ref="G129">IF($E129="","",$F129*$D$7)</f>
      </c>
      <c r="H129" t="str" s="30" cm="1">
        <f t="array" ref="H129">IF($E129="","",$T129+IF(AND($V$6&gt;=$D$8,COUNT($E$11:$E129)=$V$7+1),$D$8,0))</f>
      </c>
      <c r="I129" t="str" s="30" cm="1">
        <f t="array" ref="I129">IF($D129="","",IF(ISTEXT($D129),LEN($D129)-LEN(SUBSTITUTE($D129,":","")),-1))</f>
      </c>
      <c r="J129" s="29" cm="1">
        <f t="array" ref="J129">_xlfn.IFERROR(FIND(":",$D129),0)</f>
        <v>0</v>
      </c>
      <c r="K129" s="29" cm="1">
        <f t="array" ref="K129">_xlfn.IFERROR(FIND(":",$D129,$J129+1),0)</f>
        <v>0</v>
      </c>
      <c r="L129" t="str" s="30" cm="1">
        <f t="array" ref="L129">IF($D129="","",IF($I129=2,MID($D129,$K129+1,10),IF($I129=1,MID($D129,$J129+1,10),IF($I129=0,$D129,""))))</f>
      </c>
      <c r="M129" s="29" cm="1">
        <f t="array" ref="M129">IF($L129="",0,_xlfn.IFERROR(FIND(".",SUBSTITUTE($L129,",",".")),0))</f>
        <v>0</v>
      </c>
      <c r="N129" s="29" cm="1">
        <f t="array" ref="N129">IF($E129="",10^9,$E129)</f>
        <v>1000000000</v>
      </c>
      <c r="O129" t="str" s="30" cm="1">
        <f t="array" ref="O129">IF($E129="","",SUM($E$11:$E129))</f>
      </c>
      <c r="P129" t="str" s="30" cm="1">
        <f t="array" ref="P129">IF($E129="","",($D$6/$D$7+$O129)/COUNT($E$11:$E129))</f>
      </c>
      <c r="Q129" s="29" cm="1">
        <f t="array" ref="Q129">IF($E129="",0,IF(AND($E129&lt;$P129,OR($E130="",$P129&lt;=$E130)),1,0))</f>
        <v>0</v>
      </c>
      <c r="R129" s="27" cm="1">
        <f t="array" ref="R129">IF($V$4=0,"",ROUND($V$4,1)-10+(129-11)*0.1)</f>
        <v>3157</v>
      </c>
      <c r="S129" s="28">
        <v>4000</v>
      </c>
      <c r="T129" t="str" s="30" cm="1">
        <f t="array" ref="T129">IF($E129="","",ROUND($G129/$D$8,0)*$D$8)</f>
      </c>
      <c r="U129" s="14"/>
      <c r="V129" s="8"/>
    </row>
    <row r="130" ht="13.55" customHeight="1">
      <c r="A130" t="str" s="30" cm="1">
        <f t="array" ref="A130">IF($E130="","",COUNT($E$11:$E130))</f>
      </c>
      <c r="B130" s="39"/>
      <c r="C130" s="39"/>
      <c r="D130" s="39"/>
      <c r="E130" t="str" s="30" cm="1">
        <f t="array" ref="E130">IF($D130="","",_xlfn.IFERROR(IF($I130=-1,IF($D130&lt;0.5,$D130*86400,IF($D130&lt;100,$D130*1440,$D130)),IF($I130=2,VALUE(LEFT($D130,$J130-1))*3600+VALUE(MID($D130,$J130+1,$K130-$J130-1))*60,IF($I130=1,VALUE(LEFT($D130,$J130-1))*60,0))+IF($M130=0,VALUE($L130),VALUE(LEFT($L130,$M130-1))+VALUE(MID($L130,$M130+1,10))/10^(LEN($L130)-$M130))),""))</f>
      </c>
      <c r="F130" t="str" s="30" cm="1">
        <f t="array" ref="F130">IF($E130="","",MAX(0,$I$7-$E130))</f>
      </c>
      <c r="G130" t="str" s="30" cm="1">
        <f t="array" ref="G130">IF($E130="","",$F130*$D$7)</f>
      </c>
      <c r="H130" t="str" s="30" cm="1">
        <f t="array" ref="H130">IF($E130="","",$T130+IF(AND($V$6&gt;=$D$8,COUNT($E$11:$E130)=$V$7+1),$D$8,0))</f>
      </c>
      <c r="I130" t="str" s="30" cm="1">
        <f t="array" ref="I130">IF($D130="","",IF(ISTEXT($D130),LEN($D130)-LEN(SUBSTITUTE($D130,":","")),-1))</f>
      </c>
      <c r="J130" s="29" cm="1">
        <f t="array" ref="J130">_xlfn.IFERROR(FIND(":",$D130),0)</f>
        <v>0</v>
      </c>
      <c r="K130" s="29" cm="1">
        <f t="array" ref="K130">_xlfn.IFERROR(FIND(":",$D130,$J130+1),0)</f>
        <v>0</v>
      </c>
      <c r="L130" t="str" s="30" cm="1">
        <f t="array" ref="L130">IF($D130="","",IF($I130=2,MID($D130,$K130+1,10),IF($I130=1,MID($D130,$J130+1,10),IF($I130=0,$D130,""))))</f>
      </c>
      <c r="M130" s="29" cm="1">
        <f t="array" ref="M130">IF($L130="",0,_xlfn.IFERROR(FIND(".",SUBSTITUTE($L130,",",".")),0))</f>
        <v>0</v>
      </c>
      <c r="N130" s="29" cm="1">
        <f t="array" ref="N130">IF($E130="",10^9,$E130)</f>
        <v>1000000000</v>
      </c>
      <c r="O130" t="str" s="30" cm="1">
        <f t="array" ref="O130">IF($E130="","",SUM($E$11:$E130))</f>
      </c>
      <c r="P130" t="str" s="30" cm="1">
        <f t="array" ref="P130">IF($E130="","",($D$6/$D$7+$O130)/COUNT($E$11:$E130))</f>
      </c>
      <c r="Q130" s="29" cm="1">
        <f t="array" ref="Q130">IF($E130="",0,IF(AND($E130&lt;$P130,OR($E131="",$P130&lt;=$E131)),1,0))</f>
        <v>0</v>
      </c>
      <c r="R130" s="27" cm="1">
        <f t="array" ref="R130">IF($V$4=0,"",ROUND($V$4,1)-10+(130-11)*0.1)</f>
        <v>3157.1</v>
      </c>
      <c r="S130" s="28">
        <v>4000</v>
      </c>
      <c r="T130" t="str" s="30" cm="1">
        <f t="array" ref="T130">IF($E130="","",ROUND($G130/$D$8,0)*$D$8)</f>
      </c>
      <c r="U130" s="14"/>
      <c r="V130" s="8"/>
    </row>
    <row r="131" ht="13.55" customHeight="1">
      <c r="A131" t="str" s="30" cm="1">
        <f t="array" ref="A131">IF($E131="","",COUNT($E$11:$E131))</f>
      </c>
      <c r="B131" s="39"/>
      <c r="C131" s="39"/>
      <c r="D131" s="39"/>
      <c r="E131" t="str" s="30" cm="1">
        <f t="array" ref="E131">IF($D131="","",_xlfn.IFERROR(IF($I131=-1,IF($D131&lt;0.5,$D131*86400,IF($D131&lt;100,$D131*1440,$D131)),IF($I131=2,VALUE(LEFT($D131,$J131-1))*3600+VALUE(MID($D131,$J131+1,$K131-$J131-1))*60,IF($I131=1,VALUE(LEFT($D131,$J131-1))*60,0))+IF($M131=0,VALUE($L131),VALUE(LEFT($L131,$M131-1))+VALUE(MID($L131,$M131+1,10))/10^(LEN($L131)-$M131))),""))</f>
      </c>
      <c r="F131" t="str" s="30" cm="1">
        <f t="array" ref="F131">IF($E131="","",MAX(0,$I$7-$E131))</f>
      </c>
      <c r="G131" t="str" s="30" cm="1">
        <f t="array" ref="G131">IF($E131="","",$F131*$D$7)</f>
      </c>
      <c r="H131" t="str" s="30" cm="1">
        <f t="array" ref="H131">IF($E131="","",$T131+IF(AND($V$6&gt;=$D$8,COUNT($E$11:$E131)=$V$7+1),$D$8,0))</f>
      </c>
      <c r="I131" t="str" s="30" cm="1">
        <f t="array" ref="I131">IF($D131="","",IF(ISTEXT($D131),LEN($D131)-LEN(SUBSTITUTE($D131,":","")),-1))</f>
      </c>
      <c r="J131" s="29" cm="1">
        <f t="array" ref="J131">_xlfn.IFERROR(FIND(":",$D131),0)</f>
        <v>0</v>
      </c>
      <c r="K131" s="29" cm="1">
        <f t="array" ref="K131">_xlfn.IFERROR(FIND(":",$D131,$J131+1),0)</f>
        <v>0</v>
      </c>
      <c r="L131" t="str" s="30" cm="1">
        <f t="array" ref="L131">IF($D131="","",IF($I131=2,MID($D131,$K131+1,10),IF($I131=1,MID($D131,$J131+1,10),IF($I131=0,$D131,""))))</f>
      </c>
      <c r="M131" s="29" cm="1">
        <f t="array" ref="M131">IF($L131="",0,_xlfn.IFERROR(FIND(".",SUBSTITUTE($L131,",",".")),0))</f>
        <v>0</v>
      </c>
      <c r="N131" s="29" cm="1">
        <f t="array" ref="N131">IF($E131="",10^9,$E131)</f>
        <v>1000000000</v>
      </c>
      <c r="O131" t="str" s="30" cm="1">
        <f t="array" ref="O131">IF($E131="","",SUM($E$11:$E131))</f>
      </c>
      <c r="P131" t="str" s="30" cm="1">
        <f t="array" ref="P131">IF($E131="","",($D$6/$D$7+$O131)/COUNT($E$11:$E131))</f>
      </c>
      <c r="Q131" s="29" cm="1">
        <f t="array" ref="Q131">IF($E131="",0,IF(AND($E131&lt;$P131,OR($E132="",$P131&lt;=$E132)),1,0))</f>
        <v>0</v>
      </c>
      <c r="R131" s="27" cm="1">
        <f t="array" ref="R131">IF($V$4=0,"",ROUND($V$4,1)-10+(131-11)*0.1)</f>
        <v>3157.2</v>
      </c>
      <c r="S131" s="28">
        <v>4000</v>
      </c>
      <c r="T131" t="str" s="30" cm="1">
        <f t="array" ref="T131">IF($E131="","",ROUND($G131/$D$8,0)*$D$8)</f>
      </c>
      <c r="U131" s="14"/>
      <c r="V131" s="8"/>
    </row>
    <row r="132" ht="13.55" customHeight="1">
      <c r="A132" t="str" s="30" cm="1">
        <f t="array" ref="A132">IF($E132="","",COUNT($E$11:$E132))</f>
      </c>
      <c r="B132" s="39"/>
      <c r="C132" s="39"/>
      <c r="D132" s="39"/>
      <c r="E132" t="str" s="30" cm="1">
        <f t="array" ref="E132">IF($D132="","",_xlfn.IFERROR(IF($I132=-1,IF($D132&lt;0.5,$D132*86400,IF($D132&lt;100,$D132*1440,$D132)),IF($I132=2,VALUE(LEFT($D132,$J132-1))*3600+VALUE(MID($D132,$J132+1,$K132-$J132-1))*60,IF($I132=1,VALUE(LEFT($D132,$J132-1))*60,0))+IF($M132=0,VALUE($L132),VALUE(LEFT($L132,$M132-1))+VALUE(MID($L132,$M132+1,10))/10^(LEN($L132)-$M132))),""))</f>
      </c>
      <c r="F132" t="str" s="30" cm="1">
        <f t="array" ref="F132">IF($E132="","",MAX(0,$I$7-$E132))</f>
      </c>
      <c r="G132" t="str" s="30" cm="1">
        <f t="array" ref="G132">IF($E132="","",$F132*$D$7)</f>
      </c>
      <c r="H132" t="str" s="30" cm="1">
        <f t="array" ref="H132">IF($E132="","",$T132+IF(AND($V$6&gt;=$D$8,COUNT($E$11:$E132)=$V$7+1),$D$8,0))</f>
      </c>
      <c r="I132" t="str" s="30" cm="1">
        <f t="array" ref="I132">IF($D132="","",IF(ISTEXT($D132),LEN($D132)-LEN(SUBSTITUTE($D132,":","")),-1))</f>
      </c>
      <c r="J132" s="29" cm="1">
        <f t="array" ref="J132">_xlfn.IFERROR(FIND(":",$D132),0)</f>
        <v>0</v>
      </c>
      <c r="K132" s="29" cm="1">
        <f t="array" ref="K132">_xlfn.IFERROR(FIND(":",$D132,$J132+1),0)</f>
        <v>0</v>
      </c>
      <c r="L132" t="str" s="30" cm="1">
        <f t="array" ref="L132">IF($D132="","",IF($I132=2,MID($D132,$K132+1,10),IF($I132=1,MID($D132,$J132+1,10),IF($I132=0,$D132,""))))</f>
      </c>
      <c r="M132" s="29" cm="1">
        <f t="array" ref="M132">IF($L132="",0,_xlfn.IFERROR(FIND(".",SUBSTITUTE($L132,",",".")),0))</f>
        <v>0</v>
      </c>
      <c r="N132" s="29" cm="1">
        <f t="array" ref="N132">IF($E132="",10^9,$E132)</f>
        <v>1000000000</v>
      </c>
      <c r="O132" t="str" s="30" cm="1">
        <f t="array" ref="O132">IF($E132="","",SUM($E$11:$E132))</f>
      </c>
      <c r="P132" t="str" s="30" cm="1">
        <f t="array" ref="P132">IF($E132="","",($D$6/$D$7+$O132)/COUNT($E$11:$E132))</f>
      </c>
      <c r="Q132" s="29" cm="1">
        <f t="array" ref="Q132">IF($E132="",0,IF(AND($E132&lt;$P132,OR($E133="",$P132&lt;=$E133)),1,0))</f>
        <v>0</v>
      </c>
      <c r="R132" s="27" cm="1">
        <f t="array" ref="R132">IF($V$4=0,"",ROUND($V$4,1)-10+(132-11)*0.1)</f>
        <v>3157.3</v>
      </c>
      <c r="S132" s="28">
        <v>4000</v>
      </c>
      <c r="T132" t="str" s="30" cm="1">
        <f t="array" ref="T132">IF($E132="","",ROUND($G132/$D$8,0)*$D$8)</f>
      </c>
      <c r="U132" s="14"/>
      <c r="V132" s="8"/>
    </row>
    <row r="133" ht="13.55" customHeight="1">
      <c r="A133" t="str" s="30" cm="1">
        <f t="array" ref="A133">IF($E133="","",COUNT($E$11:$E133))</f>
      </c>
      <c r="B133" s="39"/>
      <c r="C133" s="39"/>
      <c r="D133" s="39"/>
      <c r="E133" t="str" s="30" cm="1">
        <f t="array" ref="E133">IF($D133="","",_xlfn.IFERROR(IF($I133=-1,IF($D133&lt;0.5,$D133*86400,IF($D133&lt;100,$D133*1440,$D133)),IF($I133=2,VALUE(LEFT($D133,$J133-1))*3600+VALUE(MID($D133,$J133+1,$K133-$J133-1))*60,IF($I133=1,VALUE(LEFT($D133,$J133-1))*60,0))+IF($M133=0,VALUE($L133),VALUE(LEFT($L133,$M133-1))+VALUE(MID($L133,$M133+1,10))/10^(LEN($L133)-$M133))),""))</f>
      </c>
      <c r="F133" t="str" s="30" cm="1">
        <f t="array" ref="F133">IF($E133="","",MAX(0,$I$7-$E133))</f>
      </c>
      <c r="G133" t="str" s="30" cm="1">
        <f t="array" ref="G133">IF($E133="","",$F133*$D$7)</f>
      </c>
      <c r="H133" t="str" s="30" cm="1">
        <f t="array" ref="H133">IF($E133="","",$T133+IF(AND($V$6&gt;=$D$8,COUNT($E$11:$E133)=$V$7+1),$D$8,0))</f>
      </c>
      <c r="I133" t="str" s="30" cm="1">
        <f t="array" ref="I133">IF($D133="","",IF(ISTEXT($D133),LEN($D133)-LEN(SUBSTITUTE($D133,":","")),-1))</f>
      </c>
      <c r="J133" s="29" cm="1">
        <f t="array" ref="J133">_xlfn.IFERROR(FIND(":",$D133),0)</f>
        <v>0</v>
      </c>
      <c r="K133" s="29" cm="1">
        <f t="array" ref="K133">_xlfn.IFERROR(FIND(":",$D133,$J133+1),0)</f>
        <v>0</v>
      </c>
      <c r="L133" t="str" s="30" cm="1">
        <f t="array" ref="L133">IF($D133="","",IF($I133=2,MID($D133,$K133+1,10),IF($I133=1,MID($D133,$J133+1,10),IF($I133=0,$D133,""))))</f>
      </c>
      <c r="M133" s="29" cm="1">
        <f t="array" ref="M133">IF($L133="",0,_xlfn.IFERROR(FIND(".",SUBSTITUTE($L133,",",".")),0))</f>
        <v>0</v>
      </c>
      <c r="N133" s="29" cm="1">
        <f t="array" ref="N133">IF($E133="",10^9,$E133)</f>
        <v>1000000000</v>
      </c>
      <c r="O133" t="str" s="30" cm="1">
        <f t="array" ref="O133">IF($E133="","",SUM($E$11:$E133))</f>
      </c>
      <c r="P133" t="str" s="30" cm="1">
        <f t="array" ref="P133">IF($E133="","",($D$6/$D$7+$O133)/COUNT($E$11:$E133))</f>
      </c>
      <c r="Q133" s="29" cm="1">
        <f t="array" ref="Q133">IF($E133="",0,IF(AND($E133&lt;$P133,OR($E134="",$P133&lt;=$E134)),1,0))</f>
        <v>0</v>
      </c>
      <c r="R133" s="27" cm="1">
        <f t="array" ref="R133">IF($V$4=0,"",ROUND($V$4,1)-10+(133-11)*0.1)</f>
        <v>3157.4</v>
      </c>
      <c r="S133" s="28">
        <v>4000</v>
      </c>
      <c r="T133" t="str" s="30" cm="1">
        <f t="array" ref="T133">IF($E133="","",ROUND($G133/$D$8,0)*$D$8)</f>
      </c>
      <c r="U133" s="14"/>
      <c r="V133" s="8"/>
    </row>
    <row r="134" ht="13.55" customHeight="1">
      <c r="A134" t="str" s="30" cm="1">
        <f t="array" ref="A134">IF($E134="","",COUNT($E$11:$E134))</f>
      </c>
      <c r="B134" s="39"/>
      <c r="C134" s="39"/>
      <c r="D134" s="39"/>
      <c r="E134" t="str" s="30" cm="1">
        <f t="array" ref="E134">IF($D134="","",_xlfn.IFERROR(IF($I134=-1,IF($D134&lt;0.5,$D134*86400,IF($D134&lt;100,$D134*1440,$D134)),IF($I134=2,VALUE(LEFT($D134,$J134-1))*3600+VALUE(MID($D134,$J134+1,$K134-$J134-1))*60,IF($I134=1,VALUE(LEFT($D134,$J134-1))*60,0))+IF($M134=0,VALUE($L134),VALUE(LEFT($L134,$M134-1))+VALUE(MID($L134,$M134+1,10))/10^(LEN($L134)-$M134))),""))</f>
      </c>
      <c r="F134" t="str" s="30" cm="1">
        <f t="array" ref="F134">IF($E134="","",MAX(0,$I$7-$E134))</f>
      </c>
      <c r="G134" t="str" s="30" cm="1">
        <f t="array" ref="G134">IF($E134="","",$F134*$D$7)</f>
      </c>
      <c r="H134" t="str" s="30" cm="1">
        <f t="array" ref="H134">IF($E134="","",$T134+IF(AND($V$6&gt;=$D$8,COUNT($E$11:$E134)=$V$7+1),$D$8,0))</f>
      </c>
      <c r="I134" t="str" s="30" cm="1">
        <f t="array" ref="I134">IF($D134="","",IF(ISTEXT($D134),LEN($D134)-LEN(SUBSTITUTE($D134,":","")),-1))</f>
      </c>
      <c r="J134" s="29" cm="1">
        <f t="array" ref="J134">_xlfn.IFERROR(FIND(":",$D134),0)</f>
        <v>0</v>
      </c>
      <c r="K134" s="29" cm="1">
        <f t="array" ref="K134">_xlfn.IFERROR(FIND(":",$D134,$J134+1),0)</f>
        <v>0</v>
      </c>
      <c r="L134" t="str" s="30" cm="1">
        <f t="array" ref="L134">IF($D134="","",IF($I134=2,MID($D134,$K134+1,10),IF($I134=1,MID($D134,$J134+1,10),IF($I134=0,$D134,""))))</f>
      </c>
      <c r="M134" s="29" cm="1">
        <f t="array" ref="M134">IF($L134="",0,_xlfn.IFERROR(FIND(".",SUBSTITUTE($L134,",",".")),0))</f>
        <v>0</v>
      </c>
      <c r="N134" s="29" cm="1">
        <f t="array" ref="N134">IF($E134="",10^9,$E134)</f>
        <v>1000000000</v>
      </c>
      <c r="O134" t="str" s="30" cm="1">
        <f t="array" ref="O134">IF($E134="","",SUM($E$11:$E134))</f>
      </c>
      <c r="P134" t="str" s="30" cm="1">
        <f t="array" ref="P134">IF($E134="","",($D$6/$D$7+$O134)/COUNT($E$11:$E134))</f>
      </c>
      <c r="Q134" s="29" cm="1">
        <f t="array" ref="Q134">IF($E134="",0,IF(AND($E134&lt;$P134,OR($E135="",$P134&lt;=$E135)),1,0))</f>
        <v>0</v>
      </c>
      <c r="R134" s="27" cm="1">
        <f t="array" ref="R134">IF($V$4=0,"",ROUND($V$4,1)-10+(134-11)*0.1)</f>
        <v>3157.5</v>
      </c>
      <c r="S134" s="28">
        <v>4000</v>
      </c>
      <c r="T134" t="str" s="30" cm="1">
        <f t="array" ref="T134">IF($E134="","",ROUND($G134/$D$8,0)*$D$8)</f>
      </c>
      <c r="U134" s="14"/>
      <c r="V134" s="8"/>
    </row>
    <row r="135" ht="13.55" customHeight="1">
      <c r="A135" t="str" s="30" cm="1">
        <f t="array" ref="A135">IF($E135="","",COUNT($E$11:$E135))</f>
      </c>
      <c r="B135" s="39"/>
      <c r="C135" s="39"/>
      <c r="D135" s="39"/>
      <c r="E135" t="str" s="30" cm="1">
        <f t="array" ref="E135">IF($D135="","",_xlfn.IFERROR(IF($I135=-1,IF($D135&lt;0.5,$D135*86400,IF($D135&lt;100,$D135*1440,$D135)),IF($I135=2,VALUE(LEFT($D135,$J135-1))*3600+VALUE(MID($D135,$J135+1,$K135-$J135-1))*60,IF($I135=1,VALUE(LEFT($D135,$J135-1))*60,0))+IF($M135=0,VALUE($L135),VALUE(LEFT($L135,$M135-1))+VALUE(MID($L135,$M135+1,10))/10^(LEN($L135)-$M135))),""))</f>
      </c>
      <c r="F135" t="str" s="30" cm="1">
        <f t="array" ref="F135">IF($E135="","",MAX(0,$I$7-$E135))</f>
      </c>
      <c r="G135" t="str" s="30" cm="1">
        <f t="array" ref="G135">IF($E135="","",$F135*$D$7)</f>
      </c>
      <c r="H135" t="str" s="30" cm="1">
        <f t="array" ref="H135">IF($E135="","",$T135+IF(AND($V$6&gt;=$D$8,COUNT($E$11:$E135)=$V$7+1),$D$8,0))</f>
      </c>
      <c r="I135" t="str" s="30" cm="1">
        <f t="array" ref="I135">IF($D135="","",IF(ISTEXT($D135),LEN($D135)-LEN(SUBSTITUTE($D135,":","")),-1))</f>
      </c>
      <c r="J135" s="29" cm="1">
        <f t="array" ref="J135">_xlfn.IFERROR(FIND(":",$D135),0)</f>
        <v>0</v>
      </c>
      <c r="K135" s="29" cm="1">
        <f t="array" ref="K135">_xlfn.IFERROR(FIND(":",$D135,$J135+1),0)</f>
        <v>0</v>
      </c>
      <c r="L135" t="str" s="30" cm="1">
        <f t="array" ref="L135">IF($D135="","",IF($I135=2,MID($D135,$K135+1,10),IF($I135=1,MID($D135,$J135+1,10),IF($I135=0,$D135,""))))</f>
      </c>
      <c r="M135" s="29" cm="1">
        <f t="array" ref="M135">IF($L135="",0,_xlfn.IFERROR(FIND(".",SUBSTITUTE($L135,",",".")),0))</f>
        <v>0</v>
      </c>
      <c r="N135" s="29" cm="1">
        <f t="array" ref="N135">IF($E135="",10^9,$E135)</f>
        <v>1000000000</v>
      </c>
      <c r="O135" t="str" s="30" cm="1">
        <f t="array" ref="O135">IF($E135="","",SUM($E$11:$E135))</f>
      </c>
      <c r="P135" t="str" s="30" cm="1">
        <f t="array" ref="P135">IF($E135="","",($D$6/$D$7+$O135)/COUNT($E$11:$E135))</f>
      </c>
      <c r="Q135" s="29" cm="1">
        <f t="array" ref="Q135">IF($E135="",0,IF(AND($E135&lt;$P135,OR($E136="",$P135&lt;=$E136)),1,0))</f>
        <v>0</v>
      </c>
      <c r="R135" s="27" cm="1">
        <f t="array" ref="R135">IF($V$4=0,"",ROUND($V$4,1)-10+(135-11)*0.1)</f>
        <v>3157.6</v>
      </c>
      <c r="S135" s="28">
        <v>4000</v>
      </c>
      <c r="T135" t="str" s="30" cm="1">
        <f t="array" ref="T135">IF($E135="","",ROUND($G135/$D$8,0)*$D$8)</f>
      </c>
      <c r="U135" s="14"/>
      <c r="V135" s="8"/>
    </row>
    <row r="136" ht="13.55" customHeight="1">
      <c r="A136" t="str" s="30" cm="1">
        <f t="array" ref="A136">IF($E136="","",COUNT($E$11:$E136))</f>
      </c>
      <c r="B136" s="39"/>
      <c r="C136" s="39"/>
      <c r="D136" s="39"/>
      <c r="E136" t="str" s="30" cm="1">
        <f t="array" ref="E136">IF($D136="","",_xlfn.IFERROR(IF($I136=-1,IF($D136&lt;0.5,$D136*86400,IF($D136&lt;100,$D136*1440,$D136)),IF($I136=2,VALUE(LEFT($D136,$J136-1))*3600+VALUE(MID($D136,$J136+1,$K136-$J136-1))*60,IF($I136=1,VALUE(LEFT($D136,$J136-1))*60,0))+IF($M136=0,VALUE($L136),VALUE(LEFT($L136,$M136-1))+VALUE(MID($L136,$M136+1,10))/10^(LEN($L136)-$M136))),""))</f>
      </c>
      <c r="F136" t="str" s="30" cm="1">
        <f t="array" ref="F136">IF($E136="","",MAX(0,$I$7-$E136))</f>
      </c>
      <c r="G136" t="str" s="30" cm="1">
        <f t="array" ref="G136">IF($E136="","",$F136*$D$7)</f>
      </c>
      <c r="H136" t="str" s="30" cm="1">
        <f t="array" ref="H136">IF($E136="","",$T136+IF(AND($V$6&gt;=$D$8,COUNT($E$11:$E136)=$V$7+1),$D$8,0))</f>
      </c>
      <c r="I136" t="str" s="30" cm="1">
        <f t="array" ref="I136">IF($D136="","",IF(ISTEXT($D136),LEN($D136)-LEN(SUBSTITUTE($D136,":","")),-1))</f>
      </c>
      <c r="J136" s="29" cm="1">
        <f t="array" ref="J136">_xlfn.IFERROR(FIND(":",$D136),0)</f>
        <v>0</v>
      </c>
      <c r="K136" s="29" cm="1">
        <f t="array" ref="K136">_xlfn.IFERROR(FIND(":",$D136,$J136+1),0)</f>
        <v>0</v>
      </c>
      <c r="L136" t="str" s="30" cm="1">
        <f t="array" ref="L136">IF($D136="","",IF($I136=2,MID($D136,$K136+1,10),IF($I136=1,MID($D136,$J136+1,10),IF($I136=0,$D136,""))))</f>
      </c>
      <c r="M136" s="29" cm="1">
        <f t="array" ref="M136">IF($L136="",0,_xlfn.IFERROR(FIND(".",SUBSTITUTE($L136,",",".")),0))</f>
        <v>0</v>
      </c>
      <c r="N136" s="29" cm="1">
        <f t="array" ref="N136">IF($E136="",10^9,$E136)</f>
        <v>1000000000</v>
      </c>
      <c r="O136" t="str" s="30" cm="1">
        <f t="array" ref="O136">IF($E136="","",SUM($E$11:$E136))</f>
      </c>
      <c r="P136" t="str" s="30" cm="1">
        <f t="array" ref="P136">IF($E136="","",($D$6/$D$7+$O136)/COUNT($E$11:$E136))</f>
      </c>
      <c r="Q136" s="29" cm="1">
        <f t="array" ref="Q136">IF($E136="",0,IF(AND($E136&lt;$P136,OR($E137="",$P136&lt;=$E137)),1,0))</f>
        <v>0</v>
      </c>
      <c r="R136" s="27" cm="1">
        <f t="array" ref="R136">IF($V$4=0,"",ROUND($V$4,1)-10+(136-11)*0.1)</f>
        <v>3157.7</v>
      </c>
      <c r="S136" s="28">
        <v>4000</v>
      </c>
      <c r="T136" t="str" s="30" cm="1">
        <f t="array" ref="T136">IF($E136="","",ROUND($G136/$D$8,0)*$D$8)</f>
      </c>
      <c r="U136" s="14"/>
      <c r="V136" s="8"/>
    </row>
    <row r="137" ht="13.55" customHeight="1">
      <c r="A137" t="str" s="30" cm="1">
        <f t="array" ref="A137">IF($E137="","",COUNT($E$11:$E137))</f>
      </c>
      <c r="B137" s="39"/>
      <c r="C137" s="39"/>
      <c r="D137" s="39"/>
      <c r="E137" t="str" s="30" cm="1">
        <f t="array" ref="E137">IF($D137="","",_xlfn.IFERROR(IF($I137=-1,IF($D137&lt;0.5,$D137*86400,IF($D137&lt;100,$D137*1440,$D137)),IF($I137=2,VALUE(LEFT($D137,$J137-1))*3600+VALUE(MID($D137,$J137+1,$K137-$J137-1))*60,IF($I137=1,VALUE(LEFT($D137,$J137-1))*60,0))+IF($M137=0,VALUE($L137),VALUE(LEFT($L137,$M137-1))+VALUE(MID($L137,$M137+1,10))/10^(LEN($L137)-$M137))),""))</f>
      </c>
      <c r="F137" t="str" s="30" cm="1">
        <f t="array" ref="F137">IF($E137="","",MAX(0,$I$7-$E137))</f>
      </c>
      <c r="G137" t="str" s="30" cm="1">
        <f t="array" ref="G137">IF($E137="","",$F137*$D$7)</f>
      </c>
      <c r="H137" t="str" s="30" cm="1">
        <f t="array" ref="H137">IF($E137="","",$T137+IF(AND($V$6&gt;=$D$8,COUNT($E$11:$E137)=$V$7+1),$D$8,0))</f>
      </c>
      <c r="I137" t="str" s="30" cm="1">
        <f t="array" ref="I137">IF($D137="","",IF(ISTEXT($D137),LEN($D137)-LEN(SUBSTITUTE($D137,":","")),-1))</f>
      </c>
      <c r="J137" s="29" cm="1">
        <f t="array" ref="J137">_xlfn.IFERROR(FIND(":",$D137),0)</f>
        <v>0</v>
      </c>
      <c r="K137" s="29" cm="1">
        <f t="array" ref="K137">_xlfn.IFERROR(FIND(":",$D137,$J137+1),0)</f>
        <v>0</v>
      </c>
      <c r="L137" t="str" s="30" cm="1">
        <f t="array" ref="L137">IF($D137="","",IF($I137=2,MID($D137,$K137+1,10),IF($I137=1,MID($D137,$J137+1,10),IF($I137=0,$D137,""))))</f>
      </c>
      <c r="M137" s="29" cm="1">
        <f t="array" ref="M137">IF($L137="",0,_xlfn.IFERROR(FIND(".",SUBSTITUTE($L137,",",".")),0))</f>
        <v>0</v>
      </c>
      <c r="N137" s="29" cm="1">
        <f t="array" ref="N137">IF($E137="",10^9,$E137)</f>
        <v>1000000000</v>
      </c>
      <c r="O137" t="str" s="30" cm="1">
        <f t="array" ref="O137">IF($E137="","",SUM($E$11:$E137))</f>
      </c>
      <c r="P137" t="str" s="30" cm="1">
        <f t="array" ref="P137">IF($E137="","",($D$6/$D$7+$O137)/COUNT($E$11:$E137))</f>
      </c>
      <c r="Q137" s="29" cm="1">
        <f t="array" ref="Q137">IF($E137="",0,IF(AND($E137&lt;$P137,OR($E138="",$P137&lt;=$E138)),1,0))</f>
        <v>0</v>
      </c>
      <c r="R137" s="27" cm="1">
        <f t="array" ref="R137">IF($V$4=0,"",ROUND($V$4,1)-10+(137-11)*0.1)</f>
        <v>3157.8</v>
      </c>
      <c r="S137" s="28">
        <v>4000</v>
      </c>
      <c r="T137" t="str" s="30" cm="1">
        <f t="array" ref="T137">IF($E137="","",ROUND($G137/$D$8,0)*$D$8)</f>
      </c>
      <c r="U137" s="14"/>
      <c r="V137" s="8"/>
    </row>
    <row r="138" ht="13.55" customHeight="1">
      <c r="A138" t="str" s="30" cm="1">
        <f t="array" ref="A138">IF($E138="","",COUNT($E$11:$E138))</f>
      </c>
      <c r="B138" s="39"/>
      <c r="C138" s="39"/>
      <c r="D138" s="39"/>
      <c r="E138" t="str" s="30" cm="1">
        <f t="array" ref="E138">IF($D138="","",_xlfn.IFERROR(IF($I138=-1,IF($D138&lt;0.5,$D138*86400,IF($D138&lt;100,$D138*1440,$D138)),IF($I138=2,VALUE(LEFT($D138,$J138-1))*3600+VALUE(MID($D138,$J138+1,$K138-$J138-1))*60,IF($I138=1,VALUE(LEFT($D138,$J138-1))*60,0))+IF($M138=0,VALUE($L138),VALUE(LEFT($L138,$M138-1))+VALUE(MID($L138,$M138+1,10))/10^(LEN($L138)-$M138))),""))</f>
      </c>
      <c r="F138" t="str" s="30" cm="1">
        <f t="array" ref="F138">IF($E138="","",MAX(0,$I$7-$E138))</f>
      </c>
      <c r="G138" t="str" s="30" cm="1">
        <f t="array" ref="G138">IF($E138="","",$F138*$D$7)</f>
      </c>
      <c r="H138" t="str" s="30" cm="1">
        <f t="array" ref="H138">IF($E138="","",$T138+IF(AND($V$6&gt;=$D$8,COUNT($E$11:$E138)=$V$7+1),$D$8,0))</f>
      </c>
      <c r="I138" t="str" s="30" cm="1">
        <f t="array" ref="I138">IF($D138="","",IF(ISTEXT($D138),LEN($D138)-LEN(SUBSTITUTE($D138,":","")),-1))</f>
      </c>
      <c r="J138" s="29" cm="1">
        <f t="array" ref="J138">_xlfn.IFERROR(FIND(":",$D138),0)</f>
        <v>0</v>
      </c>
      <c r="K138" s="29" cm="1">
        <f t="array" ref="K138">_xlfn.IFERROR(FIND(":",$D138,$J138+1),0)</f>
        <v>0</v>
      </c>
      <c r="L138" t="str" s="30" cm="1">
        <f t="array" ref="L138">IF($D138="","",IF($I138=2,MID($D138,$K138+1,10),IF($I138=1,MID($D138,$J138+1,10),IF($I138=0,$D138,""))))</f>
      </c>
      <c r="M138" s="29" cm="1">
        <f t="array" ref="M138">IF($L138="",0,_xlfn.IFERROR(FIND(".",SUBSTITUTE($L138,",",".")),0))</f>
        <v>0</v>
      </c>
      <c r="N138" s="29" cm="1">
        <f t="array" ref="N138">IF($E138="",10^9,$E138)</f>
        <v>1000000000</v>
      </c>
      <c r="O138" t="str" s="30" cm="1">
        <f t="array" ref="O138">IF($E138="","",SUM($E$11:$E138))</f>
      </c>
      <c r="P138" t="str" s="30" cm="1">
        <f t="array" ref="P138">IF($E138="","",($D$6/$D$7+$O138)/COUNT($E$11:$E138))</f>
      </c>
      <c r="Q138" s="29" cm="1">
        <f t="array" ref="Q138">IF($E138="",0,IF(AND($E138&lt;$P138,OR($E139="",$P138&lt;=$E139)),1,0))</f>
        <v>0</v>
      </c>
      <c r="R138" s="27" cm="1">
        <f t="array" ref="R138">IF($V$4=0,"",ROUND($V$4,1)-10+(138-11)*0.1)</f>
        <v>3157.9</v>
      </c>
      <c r="S138" s="28">
        <v>4000</v>
      </c>
      <c r="T138" t="str" s="30" cm="1">
        <f t="array" ref="T138">IF($E138="","",ROUND($G138/$D$8,0)*$D$8)</f>
      </c>
      <c r="U138" s="14"/>
      <c r="V138" s="8"/>
    </row>
    <row r="139" ht="13.55" customHeight="1">
      <c r="A139" t="str" s="30" cm="1">
        <f t="array" ref="A139">IF($E139="","",COUNT($E$11:$E139))</f>
      </c>
      <c r="B139" s="39"/>
      <c r="C139" s="39"/>
      <c r="D139" s="39"/>
      <c r="E139" t="str" s="30" cm="1">
        <f t="array" ref="E139">IF($D139="","",_xlfn.IFERROR(IF($I139=-1,IF($D139&lt;0.5,$D139*86400,IF($D139&lt;100,$D139*1440,$D139)),IF($I139=2,VALUE(LEFT($D139,$J139-1))*3600+VALUE(MID($D139,$J139+1,$K139-$J139-1))*60,IF($I139=1,VALUE(LEFT($D139,$J139-1))*60,0))+IF($M139=0,VALUE($L139),VALUE(LEFT($L139,$M139-1))+VALUE(MID($L139,$M139+1,10))/10^(LEN($L139)-$M139))),""))</f>
      </c>
      <c r="F139" t="str" s="30" cm="1">
        <f t="array" ref="F139">IF($E139="","",MAX(0,$I$7-$E139))</f>
      </c>
      <c r="G139" t="str" s="30" cm="1">
        <f t="array" ref="G139">IF($E139="","",$F139*$D$7)</f>
      </c>
      <c r="H139" t="str" s="30" cm="1">
        <f t="array" ref="H139">IF($E139="","",$T139+IF(AND($V$6&gt;=$D$8,COUNT($E$11:$E139)=$V$7+1),$D$8,0))</f>
      </c>
      <c r="I139" t="str" s="30" cm="1">
        <f t="array" ref="I139">IF($D139="","",IF(ISTEXT($D139),LEN($D139)-LEN(SUBSTITUTE($D139,":","")),-1))</f>
      </c>
      <c r="J139" s="29" cm="1">
        <f t="array" ref="J139">_xlfn.IFERROR(FIND(":",$D139),0)</f>
        <v>0</v>
      </c>
      <c r="K139" s="29" cm="1">
        <f t="array" ref="K139">_xlfn.IFERROR(FIND(":",$D139,$J139+1),0)</f>
        <v>0</v>
      </c>
      <c r="L139" t="str" s="30" cm="1">
        <f t="array" ref="L139">IF($D139="","",IF($I139=2,MID($D139,$K139+1,10),IF($I139=1,MID($D139,$J139+1,10),IF($I139=0,$D139,""))))</f>
      </c>
      <c r="M139" s="29" cm="1">
        <f t="array" ref="M139">IF($L139="",0,_xlfn.IFERROR(FIND(".",SUBSTITUTE($L139,",",".")),0))</f>
        <v>0</v>
      </c>
      <c r="N139" s="29" cm="1">
        <f t="array" ref="N139">IF($E139="",10^9,$E139)</f>
        <v>1000000000</v>
      </c>
      <c r="O139" t="str" s="30" cm="1">
        <f t="array" ref="O139">IF($E139="","",SUM($E$11:$E139))</f>
      </c>
      <c r="P139" t="str" s="30" cm="1">
        <f t="array" ref="P139">IF($E139="","",($D$6/$D$7+$O139)/COUNT($E$11:$E139))</f>
      </c>
      <c r="Q139" s="29" cm="1">
        <f t="array" ref="Q139">IF($E139="",0,IF(AND($E139&lt;$P139,OR($E140="",$P139&lt;=$E140)),1,0))</f>
        <v>0</v>
      </c>
      <c r="R139" s="27" cm="1">
        <f t="array" ref="R139">IF($V$4=0,"",ROUND($V$4,1)-10+(139-11)*0.1)</f>
        <v>3158</v>
      </c>
      <c r="S139" s="28">
        <v>4000</v>
      </c>
      <c r="T139" t="str" s="30" cm="1">
        <f t="array" ref="T139">IF($E139="","",ROUND($G139/$D$8,0)*$D$8)</f>
      </c>
      <c r="U139" s="14"/>
      <c r="V139" s="8"/>
    </row>
    <row r="140" ht="13.55" customHeight="1">
      <c r="A140" t="str" s="30" cm="1">
        <f t="array" ref="A140">IF($E140="","",COUNT($E$11:$E140))</f>
      </c>
      <c r="B140" s="39"/>
      <c r="C140" s="39"/>
      <c r="D140" s="39"/>
      <c r="E140" t="str" s="30" cm="1">
        <f t="array" ref="E140">IF($D140="","",_xlfn.IFERROR(IF($I140=-1,IF($D140&lt;0.5,$D140*86400,IF($D140&lt;100,$D140*1440,$D140)),IF($I140=2,VALUE(LEFT($D140,$J140-1))*3600+VALUE(MID($D140,$J140+1,$K140-$J140-1))*60,IF($I140=1,VALUE(LEFT($D140,$J140-1))*60,0))+IF($M140=0,VALUE($L140),VALUE(LEFT($L140,$M140-1))+VALUE(MID($L140,$M140+1,10))/10^(LEN($L140)-$M140))),""))</f>
      </c>
      <c r="F140" t="str" s="30" cm="1">
        <f t="array" ref="F140">IF($E140="","",MAX(0,$I$7-$E140))</f>
      </c>
      <c r="G140" t="str" s="30" cm="1">
        <f t="array" ref="G140">IF($E140="","",$F140*$D$7)</f>
      </c>
      <c r="H140" t="str" s="30" cm="1">
        <f t="array" ref="H140">IF($E140="","",$T140+IF(AND($V$6&gt;=$D$8,COUNT($E$11:$E140)=$V$7+1),$D$8,0))</f>
      </c>
      <c r="I140" t="str" s="30" cm="1">
        <f t="array" ref="I140">IF($D140="","",IF(ISTEXT($D140),LEN($D140)-LEN(SUBSTITUTE($D140,":","")),-1))</f>
      </c>
      <c r="J140" s="29" cm="1">
        <f t="array" ref="J140">_xlfn.IFERROR(FIND(":",$D140),0)</f>
        <v>0</v>
      </c>
      <c r="K140" s="29" cm="1">
        <f t="array" ref="K140">_xlfn.IFERROR(FIND(":",$D140,$J140+1),0)</f>
        <v>0</v>
      </c>
      <c r="L140" t="str" s="30" cm="1">
        <f t="array" ref="L140">IF($D140="","",IF($I140=2,MID($D140,$K140+1,10),IF($I140=1,MID($D140,$J140+1,10),IF($I140=0,$D140,""))))</f>
      </c>
      <c r="M140" s="29" cm="1">
        <f t="array" ref="M140">IF($L140="",0,_xlfn.IFERROR(FIND(".",SUBSTITUTE($L140,",",".")),0))</f>
        <v>0</v>
      </c>
      <c r="N140" s="29" cm="1">
        <f t="array" ref="N140">IF($E140="",10^9,$E140)</f>
        <v>1000000000</v>
      </c>
      <c r="O140" t="str" s="30" cm="1">
        <f t="array" ref="O140">IF($E140="","",SUM($E$11:$E140))</f>
      </c>
      <c r="P140" t="str" s="30" cm="1">
        <f t="array" ref="P140">IF($E140="","",($D$6/$D$7+$O140)/COUNT($E$11:$E140))</f>
      </c>
      <c r="Q140" s="29" cm="1">
        <f t="array" ref="Q140">IF($E140="",0,IF(AND($E140&lt;$P140,OR($E141="",$P140&lt;=$E141)),1,0))</f>
        <v>0</v>
      </c>
      <c r="R140" s="27" cm="1">
        <f t="array" ref="R140">IF($V$4=0,"",ROUND($V$4,1)-10+(140-11)*0.1)</f>
        <v>3158.1</v>
      </c>
      <c r="S140" s="28">
        <v>4000</v>
      </c>
      <c r="T140" t="str" s="30" cm="1">
        <f t="array" ref="T140">IF($E140="","",ROUND($G140/$D$8,0)*$D$8)</f>
      </c>
      <c r="U140" s="14"/>
      <c r="V140" s="8"/>
    </row>
    <row r="141" ht="13.55" customHeight="1">
      <c r="A141" t="str" s="30" cm="1">
        <f t="array" ref="A141">IF($E141="","",COUNT($E$11:$E141))</f>
      </c>
      <c r="B141" s="39"/>
      <c r="C141" s="39"/>
      <c r="D141" s="39"/>
      <c r="E141" t="str" s="30" cm="1">
        <f t="array" ref="E141">IF($D141="","",_xlfn.IFERROR(IF($I141=-1,IF($D141&lt;0.5,$D141*86400,IF($D141&lt;100,$D141*1440,$D141)),IF($I141=2,VALUE(LEFT($D141,$J141-1))*3600+VALUE(MID($D141,$J141+1,$K141-$J141-1))*60,IF($I141=1,VALUE(LEFT($D141,$J141-1))*60,0))+IF($M141=0,VALUE($L141),VALUE(LEFT($L141,$M141-1))+VALUE(MID($L141,$M141+1,10))/10^(LEN($L141)-$M141))),""))</f>
      </c>
      <c r="F141" t="str" s="30" cm="1">
        <f t="array" ref="F141">IF($E141="","",MAX(0,$I$7-$E141))</f>
      </c>
      <c r="G141" t="str" s="30" cm="1">
        <f t="array" ref="G141">IF($E141="","",$F141*$D$7)</f>
      </c>
      <c r="H141" t="str" s="30" cm="1">
        <f t="array" ref="H141">IF($E141="","",$T141+IF(AND($V$6&gt;=$D$8,COUNT($E$11:$E141)=$V$7+1),$D$8,0))</f>
      </c>
      <c r="I141" t="str" s="30" cm="1">
        <f t="array" ref="I141">IF($D141="","",IF(ISTEXT($D141),LEN($D141)-LEN(SUBSTITUTE($D141,":","")),-1))</f>
      </c>
      <c r="J141" s="29" cm="1">
        <f t="array" ref="J141">_xlfn.IFERROR(FIND(":",$D141),0)</f>
        <v>0</v>
      </c>
      <c r="K141" s="29" cm="1">
        <f t="array" ref="K141">_xlfn.IFERROR(FIND(":",$D141,$J141+1),0)</f>
        <v>0</v>
      </c>
      <c r="L141" t="str" s="30" cm="1">
        <f t="array" ref="L141">IF($D141="","",IF($I141=2,MID($D141,$K141+1,10),IF($I141=1,MID($D141,$J141+1,10),IF($I141=0,$D141,""))))</f>
      </c>
      <c r="M141" s="29" cm="1">
        <f t="array" ref="M141">IF($L141="",0,_xlfn.IFERROR(FIND(".",SUBSTITUTE($L141,",",".")),0))</f>
        <v>0</v>
      </c>
      <c r="N141" s="29" cm="1">
        <f t="array" ref="N141">IF($E141="",10^9,$E141)</f>
        <v>1000000000</v>
      </c>
      <c r="O141" t="str" s="30" cm="1">
        <f t="array" ref="O141">IF($E141="","",SUM($E$11:$E141))</f>
      </c>
      <c r="P141" t="str" s="30" cm="1">
        <f t="array" ref="P141">IF($E141="","",($D$6/$D$7+$O141)/COUNT($E$11:$E141))</f>
      </c>
      <c r="Q141" s="29" cm="1">
        <f t="array" ref="Q141">IF($E141="",0,IF(AND($E141&lt;$P141,OR($E142="",$P141&lt;=$E142)),1,0))</f>
        <v>0</v>
      </c>
      <c r="R141" s="27" cm="1">
        <f t="array" ref="R141">IF($V$4=0,"",ROUND($V$4,1)-10+(141-11)*0.1)</f>
        <v>3158.2</v>
      </c>
      <c r="S141" s="28">
        <v>4000</v>
      </c>
      <c r="T141" t="str" s="30" cm="1">
        <f t="array" ref="T141">IF($E141="","",ROUND($G141/$D$8,0)*$D$8)</f>
      </c>
      <c r="U141" s="14"/>
      <c r="V141" s="8"/>
    </row>
    <row r="142" ht="13.55" customHeight="1">
      <c r="A142" t="str" s="30" cm="1">
        <f t="array" ref="A142">IF($E142="","",COUNT($E$11:$E142))</f>
      </c>
      <c r="B142" s="39"/>
      <c r="C142" s="39"/>
      <c r="D142" s="39"/>
      <c r="E142" t="str" s="30" cm="1">
        <f t="array" ref="E142">IF($D142="","",_xlfn.IFERROR(IF($I142=-1,IF($D142&lt;0.5,$D142*86400,IF($D142&lt;100,$D142*1440,$D142)),IF($I142=2,VALUE(LEFT($D142,$J142-1))*3600+VALUE(MID($D142,$J142+1,$K142-$J142-1))*60,IF($I142=1,VALUE(LEFT($D142,$J142-1))*60,0))+IF($M142=0,VALUE($L142),VALUE(LEFT($L142,$M142-1))+VALUE(MID($L142,$M142+1,10))/10^(LEN($L142)-$M142))),""))</f>
      </c>
      <c r="F142" t="str" s="30" cm="1">
        <f t="array" ref="F142">IF($E142="","",MAX(0,$I$7-$E142))</f>
      </c>
      <c r="G142" t="str" s="30" cm="1">
        <f t="array" ref="G142">IF($E142="","",$F142*$D$7)</f>
      </c>
      <c r="H142" t="str" s="30" cm="1">
        <f t="array" ref="H142">IF($E142="","",$T142+IF(AND($V$6&gt;=$D$8,COUNT($E$11:$E142)=$V$7+1),$D$8,0))</f>
      </c>
      <c r="I142" t="str" s="30" cm="1">
        <f t="array" ref="I142">IF($D142="","",IF(ISTEXT($D142),LEN($D142)-LEN(SUBSTITUTE($D142,":","")),-1))</f>
      </c>
      <c r="J142" s="29" cm="1">
        <f t="array" ref="J142">_xlfn.IFERROR(FIND(":",$D142),0)</f>
        <v>0</v>
      </c>
      <c r="K142" s="29" cm="1">
        <f t="array" ref="K142">_xlfn.IFERROR(FIND(":",$D142,$J142+1),0)</f>
        <v>0</v>
      </c>
      <c r="L142" t="str" s="30" cm="1">
        <f t="array" ref="L142">IF($D142="","",IF($I142=2,MID($D142,$K142+1,10),IF($I142=1,MID($D142,$J142+1,10),IF($I142=0,$D142,""))))</f>
      </c>
      <c r="M142" s="29" cm="1">
        <f t="array" ref="M142">IF($L142="",0,_xlfn.IFERROR(FIND(".",SUBSTITUTE($L142,",",".")),0))</f>
        <v>0</v>
      </c>
      <c r="N142" s="29" cm="1">
        <f t="array" ref="N142">IF($E142="",10^9,$E142)</f>
        <v>1000000000</v>
      </c>
      <c r="O142" t="str" s="30" cm="1">
        <f t="array" ref="O142">IF($E142="","",SUM($E$11:$E142))</f>
      </c>
      <c r="P142" t="str" s="30" cm="1">
        <f t="array" ref="P142">IF($E142="","",($D$6/$D$7+$O142)/COUNT($E$11:$E142))</f>
      </c>
      <c r="Q142" s="29" cm="1">
        <f t="array" ref="Q142">IF($E142="",0,IF(AND($E142&lt;$P142,OR($E143="",$P142&lt;=$E143)),1,0))</f>
        <v>0</v>
      </c>
      <c r="R142" s="27" cm="1">
        <f t="array" ref="R142">IF($V$4=0,"",ROUND($V$4,1)-10+(142-11)*0.1)</f>
        <v>3158.3</v>
      </c>
      <c r="S142" s="28">
        <v>4000</v>
      </c>
      <c r="T142" t="str" s="30" cm="1">
        <f t="array" ref="T142">IF($E142="","",ROUND($G142/$D$8,0)*$D$8)</f>
      </c>
      <c r="U142" s="14"/>
      <c r="V142" s="8"/>
    </row>
    <row r="143" ht="13.55" customHeight="1">
      <c r="A143" t="str" s="30" cm="1">
        <f t="array" ref="A143">IF($E143="","",COUNT($E$11:$E143))</f>
      </c>
      <c r="B143" s="39"/>
      <c r="C143" s="39"/>
      <c r="D143" s="39"/>
      <c r="E143" t="str" s="30" cm="1">
        <f t="array" ref="E143">IF($D143="","",_xlfn.IFERROR(IF($I143=-1,IF($D143&lt;0.5,$D143*86400,IF($D143&lt;100,$D143*1440,$D143)),IF($I143=2,VALUE(LEFT($D143,$J143-1))*3600+VALUE(MID($D143,$J143+1,$K143-$J143-1))*60,IF($I143=1,VALUE(LEFT($D143,$J143-1))*60,0))+IF($M143=0,VALUE($L143),VALUE(LEFT($L143,$M143-1))+VALUE(MID($L143,$M143+1,10))/10^(LEN($L143)-$M143))),""))</f>
      </c>
      <c r="F143" t="str" s="30" cm="1">
        <f t="array" ref="F143">IF($E143="","",MAX(0,$I$7-$E143))</f>
      </c>
      <c r="G143" t="str" s="30" cm="1">
        <f t="array" ref="G143">IF($E143="","",$F143*$D$7)</f>
      </c>
      <c r="H143" t="str" s="30" cm="1">
        <f t="array" ref="H143">IF($E143="","",$T143+IF(AND($V$6&gt;=$D$8,COUNT($E$11:$E143)=$V$7+1),$D$8,0))</f>
      </c>
      <c r="I143" t="str" s="30" cm="1">
        <f t="array" ref="I143">IF($D143="","",IF(ISTEXT($D143),LEN($D143)-LEN(SUBSTITUTE($D143,":","")),-1))</f>
      </c>
      <c r="J143" s="29" cm="1">
        <f t="array" ref="J143">_xlfn.IFERROR(FIND(":",$D143),0)</f>
        <v>0</v>
      </c>
      <c r="K143" s="29" cm="1">
        <f t="array" ref="K143">_xlfn.IFERROR(FIND(":",$D143,$J143+1),0)</f>
        <v>0</v>
      </c>
      <c r="L143" t="str" s="30" cm="1">
        <f t="array" ref="L143">IF($D143="","",IF($I143=2,MID($D143,$K143+1,10),IF($I143=1,MID($D143,$J143+1,10),IF($I143=0,$D143,""))))</f>
      </c>
      <c r="M143" s="29" cm="1">
        <f t="array" ref="M143">IF($L143="",0,_xlfn.IFERROR(FIND(".",SUBSTITUTE($L143,",",".")),0))</f>
        <v>0</v>
      </c>
      <c r="N143" s="29" cm="1">
        <f t="array" ref="N143">IF($E143="",10^9,$E143)</f>
        <v>1000000000</v>
      </c>
      <c r="O143" t="str" s="30" cm="1">
        <f t="array" ref="O143">IF($E143="","",SUM($E$11:$E143))</f>
      </c>
      <c r="P143" t="str" s="30" cm="1">
        <f t="array" ref="P143">IF($E143="","",($D$6/$D$7+$O143)/COUNT($E$11:$E143))</f>
      </c>
      <c r="Q143" s="29" cm="1">
        <f t="array" ref="Q143">IF($E143="",0,IF(AND($E143&lt;$P143,OR($E144="",$P143&lt;=$E144)),1,0))</f>
        <v>0</v>
      </c>
      <c r="R143" s="27" cm="1">
        <f t="array" ref="R143">IF($V$4=0,"",ROUND($V$4,1)-10+(143-11)*0.1)</f>
        <v>3158.4</v>
      </c>
      <c r="S143" s="28">
        <v>4000</v>
      </c>
      <c r="T143" t="str" s="30" cm="1">
        <f t="array" ref="T143">IF($E143="","",ROUND($G143/$D$8,0)*$D$8)</f>
      </c>
      <c r="U143" s="14"/>
      <c r="V143" s="8"/>
    </row>
    <row r="144" ht="13.55" customHeight="1">
      <c r="A144" t="str" s="30" cm="1">
        <f t="array" ref="A144">IF($E144="","",COUNT($E$11:$E144))</f>
      </c>
      <c r="B144" s="39"/>
      <c r="C144" s="39"/>
      <c r="D144" s="39"/>
      <c r="E144" t="str" s="30" cm="1">
        <f t="array" ref="E144">IF($D144="","",_xlfn.IFERROR(IF($I144=-1,IF($D144&lt;0.5,$D144*86400,IF($D144&lt;100,$D144*1440,$D144)),IF($I144=2,VALUE(LEFT($D144,$J144-1))*3600+VALUE(MID($D144,$J144+1,$K144-$J144-1))*60,IF($I144=1,VALUE(LEFT($D144,$J144-1))*60,0))+IF($M144=0,VALUE($L144),VALUE(LEFT($L144,$M144-1))+VALUE(MID($L144,$M144+1,10))/10^(LEN($L144)-$M144))),""))</f>
      </c>
      <c r="F144" t="str" s="30" cm="1">
        <f t="array" ref="F144">IF($E144="","",MAX(0,$I$7-$E144))</f>
      </c>
      <c r="G144" t="str" s="30" cm="1">
        <f t="array" ref="G144">IF($E144="","",$F144*$D$7)</f>
      </c>
      <c r="H144" t="str" s="30" cm="1">
        <f t="array" ref="H144">IF($E144="","",$T144+IF(AND($V$6&gt;=$D$8,COUNT($E$11:$E144)=$V$7+1),$D$8,0))</f>
      </c>
      <c r="I144" t="str" s="30" cm="1">
        <f t="array" ref="I144">IF($D144="","",IF(ISTEXT($D144),LEN($D144)-LEN(SUBSTITUTE($D144,":","")),-1))</f>
      </c>
      <c r="J144" s="29" cm="1">
        <f t="array" ref="J144">_xlfn.IFERROR(FIND(":",$D144),0)</f>
        <v>0</v>
      </c>
      <c r="K144" s="29" cm="1">
        <f t="array" ref="K144">_xlfn.IFERROR(FIND(":",$D144,$J144+1),0)</f>
        <v>0</v>
      </c>
      <c r="L144" t="str" s="30" cm="1">
        <f t="array" ref="L144">IF($D144="","",IF($I144=2,MID($D144,$K144+1,10),IF($I144=1,MID($D144,$J144+1,10),IF($I144=0,$D144,""))))</f>
      </c>
      <c r="M144" s="29" cm="1">
        <f t="array" ref="M144">IF($L144="",0,_xlfn.IFERROR(FIND(".",SUBSTITUTE($L144,",",".")),0))</f>
        <v>0</v>
      </c>
      <c r="N144" s="29" cm="1">
        <f t="array" ref="N144">IF($E144="",10^9,$E144)</f>
        <v>1000000000</v>
      </c>
      <c r="O144" t="str" s="30" cm="1">
        <f t="array" ref="O144">IF($E144="","",SUM($E$11:$E144))</f>
      </c>
      <c r="P144" t="str" s="30" cm="1">
        <f t="array" ref="P144">IF($E144="","",($D$6/$D$7+$O144)/COUNT($E$11:$E144))</f>
      </c>
      <c r="Q144" s="29" cm="1">
        <f t="array" ref="Q144">IF($E144="",0,IF(AND($E144&lt;$P144,OR($E145="",$P144&lt;=$E145)),1,0))</f>
        <v>0</v>
      </c>
      <c r="R144" s="27" cm="1">
        <f t="array" ref="R144">IF($V$4=0,"",ROUND($V$4,1)-10+(144-11)*0.1)</f>
        <v>3158.5</v>
      </c>
      <c r="S144" s="28">
        <v>4000</v>
      </c>
      <c r="T144" t="str" s="30" cm="1">
        <f t="array" ref="T144">IF($E144="","",ROUND($G144/$D$8,0)*$D$8)</f>
      </c>
      <c r="U144" s="14"/>
      <c r="V144" s="8"/>
    </row>
    <row r="145" ht="13.55" customHeight="1">
      <c r="A145" t="str" s="30" cm="1">
        <f t="array" ref="A145">IF($E145="","",COUNT($E$11:$E145))</f>
      </c>
      <c r="B145" s="39"/>
      <c r="C145" s="39"/>
      <c r="D145" s="39"/>
      <c r="E145" t="str" s="30" cm="1">
        <f t="array" ref="E145">IF($D145="","",_xlfn.IFERROR(IF($I145=-1,IF($D145&lt;0.5,$D145*86400,IF($D145&lt;100,$D145*1440,$D145)),IF($I145=2,VALUE(LEFT($D145,$J145-1))*3600+VALUE(MID($D145,$J145+1,$K145-$J145-1))*60,IF($I145=1,VALUE(LEFT($D145,$J145-1))*60,0))+IF($M145=0,VALUE($L145),VALUE(LEFT($L145,$M145-1))+VALUE(MID($L145,$M145+1,10))/10^(LEN($L145)-$M145))),""))</f>
      </c>
      <c r="F145" t="str" s="30" cm="1">
        <f t="array" ref="F145">IF($E145="","",MAX(0,$I$7-$E145))</f>
      </c>
      <c r="G145" t="str" s="30" cm="1">
        <f t="array" ref="G145">IF($E145="","",$F145*$D$7)</f>
      </c>
      <c r="H145" t="str" s="30" cm="1">
        <f t="array" ref="H145">IF($E145="","",$T145+IF(AND($V$6&gt;=$D$8,COUNT($E$11:$E145)=$V$7+1),$D$8,0))</f>
      </c>
      <c r="I145" t="str" s="30" cm="1">
        <f t="array" ref="I145">IF($D145="","",IF(ISTEXT($D145),LEN($D145)-LEN(SUBSTITUTE($D145,":","")),-1))</f>
      </c>
      <c r="J145" s="29" cm="1">
        <f t="array" ref="J145">_xlfn.IFERROR(FIND(":",$D145),0)</f>
        <v>0</v>
      </c>
      <c r="K145" s="29" cm="1">
        <f t="array" ref="K145">_xlfn.IFERROR(FIND(":",$D145,$J145+1),0)</f>
        <v>0</v>
      </c>
      <c r="L145" t="str" s="30" cm="1">
        <f t="array" ref="L145">IF($D145="","",IF($I145=2,MID($D145,$K145+1,10),IF($I145=1,MID($D145,$J145+1,10),IF($I145=0,$D145,""))))</f>
      </c>
      <c r="M145" s="29" cm="1">
        <f t="array" ref="M145">IF($L145="",0,_xlfn.IFERROR(FIND(".",SUBSTITUTE($L145,",",".")),0))</f>
        <v>0</v>
      </c>
      <c r="N145" s="29" cm="1">
        <f t="array" ref="N145">IF($E145="",10^9,$E145)</f>
        <v>1000000000</v>
      </c>
      <c r="O145" t="str" s="30" cm="1">
        <f t="array" ref="O145">IF($E145="","",SUM($E$11:$E145))</f>
      </c>
      <c r="P145" t="str" s="30" cm="1">
        <f t="array" ref="P145">IF($E145="","",($D$6/$D$7+$O145)/COUNT($E$11:$E145))</f>
      </c>
      <c r="Q145" s="29" cm="1">
        <f t="array" ref="Q145">IF($E145="",0,IF(AND($E145&lt;$P145,OR($E146="",$P145&lt;=$E146)),1,0))</f>
        <v>0</v>
      </c>
      <c r="R145" s="27" cm="1">
        <f t="array" ref="R145">IF($V$4=0,"",ROUND($V$4,1)-10+(145-11)*0.1)</f>
        <v>3158.6</v>
      </c>
      <c r="S145" s="28">
        <v>4000</v>
      </c>
      <c r="T145" t="str" s="30" cm="1">
        <f t="array" ref="T145">IF($E145="","",ROUND($G145/$D$8,0)*$D$8)</f>
      </c>
      <c r="U145" s="14"/>
      <c r="V145" s="8"/>
    </row>
    <row r="146" ht="13.55" customHeight="1">
      <c r="A146" t="str" s="30" cm="1">
        <f t="array" ref="A146">IF($E146="","",COUNT($E$11:$E146))</f>
      </c>
      <c r="B146" s="39"/>
      <c r="C146" s="39"/>
      <c r="D146" s="39"/>
      <c r="E146" t="str" s="30" cm="1">
        <f t="array" ref="E146">IF($D146="","",_xlfn.IFERROR(IF($I146=-1,IF($D146&lt;0.5,$D146*86400,IF($D146&lt;100,$D146*1440,$D146)),IF($I146=2,VALUE(LEFT($D146,$J146-1))*3600+VALUE(MID($D146,$J146+1,$K146-$J146-1))*60,IF($I146=1,VALUE(LEFT($D146,$J146-1))*60,0))+IF($M146=0,VALUE($L146),VALUE(LEFT($L146,$M146-1))+VALUE(MID($L146,$M146+1,10))/10^(LEN($L146)-$M146))),""))</f>
      </c>
      <c r="F146" t="str" s="30" cm="1">
        <f t="array" ref="F146">IF($E146="","",MAX(0,$I$7-$E146))</f>
      </c>
      <c r="G146" t="str" s="30" cm="1">
        <f t="array" ref="G146">IF($E146="","",$F146*$D$7)</f>
      </c>
      <c r="H146" t="str" s="30" cm="1">
        <f t="array" ref="H146">IF($E146="","",$T146+IF(AND($V$6&gt;=$D$8,COUNT($E$11:$E146)=$V$7+1),$D$8,0))</f>
      </c>
      <c r="I146" t="str" s="30" cm="1">
        <f t="array" ref="I146">IF($D146="","",IF(ISTEXT($D146),LEN($D146)-LEN(SUBSTITUTE($D146,":","")),-1))</f>
      </c>
      <c r="J146" s="29" cm="1">
        <f t="array" ref="J146">_xlfn.IFERROR(FIND(":",$D146),0)</f>
        <v>0</v>
      </c>
      <c r="K146" s="29" cm="1">
        <f t="array" ref="K146">_xlfn.IFERROR(FIND(":",$D146,$J146+1),0)</f>
        <v>0</v>
      </c>
      <c r="L146" t="str" s="30" cm="1">
        <f t="array" ref="L146">IF($D146="","",IF($I146=2,MID($D146,$K146+1,10),IF($I146=1,MID($D146,$J146+1,10),IF($I146=0,$D146,""))))</f>
      </c>
      <c r="M146" s="29" cm="1">
        <f t="array" ref="M146">IF($L146="",0,_xlfn.IFERROR(FIND(".",SUBSTITUTE($L146,",",".")),0))</f>
        <v>0</v>
      </c>
      <c r="N146" s="29" cm="1">
        <f t="array" ref="N146">IF($E146="",10^9,$E146)</f>
        <v>1000000000</v>
      </c>
      <c r="O146" t="str" s="30" cm="1">
        <f t="array" ref="O146">IF($E146="","",SUM($E$11:$E146))</f>
      </c>
      <c r="P146" t="str" s="30" cm="1">
        <f t="array" ref="P146">IF($E146="","",($D$6/$D$7+$O146)/COUNT($E$11:$E146))</f>
      </c>
      <c r="Q146" s="29" cm="1">
        <f t="array" ref="Q146">IF($E146="",0,IF(AND($E146&lt;$P146,OR($E147="",$P146&lt;=$E147)),1,0))</f>
        <v>0</v>
      </c>
      <c r="R146" s="27" cm="1">
        <f t="array" ref="R146">IF($V$4=0,"",ROUND($V$4,1)-10+(146-11)*0.1)</f>
        <v>3158.7</v>
      </c>
      <c r="S146" s="28">
        <v>4000</v>
      </c>
      <c r="T146" t="str" s="30" cm="1">
        <f t="array" ref="T146">IF($E146="","",ROUND($G146/$D$8,0)*$D$8)</f>
      </c>
      <c r="U146" s="14"/>
      <c r="V146" s="8"/>
    </row>
    <row r="147" ht="13.55" customHeight="1">
      <c r="A147" t="str" s="30" cm="1">
        <f t="array" ref="A147">IF($E147="","",COUNT($E$11:$E147))</f>
      </c>
      <c r="B147" s="39"/>
      <c r="C147" s="39"/>
      <c r="D147" s="39"/>
      <c r="E147" t="str" s="30" cm="1">
        <f t="array" ref="E147">IF($D147="","",_xlfn.IFERROR(IF($I147=-1,IF($D147&lt;0.5,$D147*86400,IF($D147&lt;100,$D147*1440,$D147)),IF($I147=2,VALUE(LEFT($D147,$J147-1))*3600+VALUE(MID($D147,$J147+1,$K147-$J147-1))*60,IF($I147=1,VALUE(LEFT($D147,$J147-1))*60,0))+IF($M147=0,VALUE($L147),VALUE(LEFT($L147,$M147-1))+VALUE(MID($L147,$M147+1,10))/10^(LEN($L147)-$M147))),""))</f>
      </c>
      <c r="F147" t="str" s="30" cm="1">
        <f t="array" ref="F147">IF($E147="","",MAX(0,$I$7-$E147))</f>
      </c>
      <c r="G147" t="str" s="30" cm="1">
        <f t="array" ref="G147">IF($E147="","",$F147*$D$7)</f>
      </c>
      <c r="H147" t="str" s="30" cm="1">
        <f t="array" ref="H147">IF($E147="","",$T147+IF(AND($V$6&gt;=$D$8,COUNT($E$11:$E147)=$V$7+1),$D$8,0))</f>
      </c>
      <c r="I147" t="str" s="30" cm="1">
        <f t="array" ref="I147">IF($D147="","",IF(ISTEXT($D147),LEN($D147)-LEN(SUBSTITUTE($D147,":","")),-1))</f>
      </c>
      <c r="J147" s="29" cm="1">
        <f t="array" ref="J147">_xlfn.IFERROR(FIND(":",$D147),0)</f>
        <v>0</v>
      </c>
      <c r="K147" s="29" cm="1">
        <f t="array" ref="K147">_xlfn.IFERROR(FIND(":",$D147,$J147+1),0)</f>
        <v>0</v>
      </c>
      <c r="L147" t="str" s="30" cm="1">
        <f t="array" ref="L147">IF($D147="","",IF($I147=2,MID($D147,$K147+1,10),IF($I147=1,MID($D147,$J147+1,10),IF($I147=0,$D147,""))))</f>
      </c>
      <c r="M147" s="29" cm="1">
        <f t="array" ref="M147">IF($L147="",0,_xlfn.IFERROR(FIND(".",SUBSTITUTE($L147,",",".")),0))</f>
        <v>0</v>
      </c>
      <c r="N147" s="29" cm="1">
        <f t="array" ref="N147">IF($E147="",10^9,$E147)</f>
        <v>1000000000</v>
      </c>
      <c r="O147" t="str" s="30" cm="1">
        <f t="array" ref="O147">IF($E147="","",SUM($E$11:$E147))</f>
      </c>
      <c r="P147" t="str" s="30" cm="1">
        <f t="array" ref="P147">IF($E147="","",($D$6/$D$7+$O147)/COUNT($E$11:$E147))</f>
      </c>
      <c r="Q147" s="29" cm="1">
        <f t="array" ref="Q147">IF($E147="",0,IF(AND($E147&lt;$P147,OR($E148="",$P147&lt;=$E148)),1,0))</f>
        <v>0</v>
      </c>
      <c r="R147" s="27" cm="1">
        <f t="array" ref="R147">IF($V$4=0,"",ROUND($V$4,1)-10+(147-11)*0.1)</f>
        <v>3158.8</v>
      </c>
      <c r="S147" s="28">
        <v>4000</v>
      </c>
      <c r="T147" t="str" s="30" cm="1">
        <f t="array" ref="T147">IF($E147="","",ROUND($G147/$D$8,0)*$D$8)</f>
      </c>
      <c r="U147" s="14"/>
      <c r="V147" s="8"/>
    </row>
    <row r="148" ht="13.55" customHeight="1">
      <c r="A148" t="str" s="30" cm="1">
        <f t="array" ref="A148">IF($E148="","",COUNT($E$11:$E148))</f>
      </c>
      <c r="B148" s="39"/>
      <c r="C148" s="39"/>
      <c r="D148" s="39"/>
      <c r="E148" t="str" s="30" cm="1">
        <f t="array" ref="E148">IF($D148="","",_xlfn.IFERROR(IF($I148=-1,IF($D148&lt;0.5,$D148*86400,IF($D148&lt;100,$D148*1440,$D148)),IF($I148=2,VALUE(LEFT($D148,$J148-1))*3600+VALUE(MID($D148,$J148+1,$K148-$J148-1))*60,IF($I148=1,VALUE(LEFT($D148,$J148-1))*60,0))+IF($M148=0,VALUE($L148),VALUE(LEFT($L148,$M148-1))+VALUE(MID($L148,$M148+1,10))/10^(LEN($L148)-$M148))),""))</f>
      </c>
      <c r="F148" t="str" s="30" cm="1">
        <f t="array" ref="F148">IF($E148="","",MAX(0,$I$7-$E148))</f>
      </c>
      <c r="G148" t="str" s="30" cm="1">
        <f t="array" ref="G148">IF($E148="","",$F148*$D$7)</f>
      </c>
      <c r="H148" t="str" s="30" cm="1">
        <f t="array" ref="H148">IF($E148="","",$T148+IF(AND($V$6&gt;=$D$8,COUNT($E$11:$E148)=$V$7+1),$D$8,0))</f>
      </c>
      <c r="I148" t="str" s="30" cm="1">
        <f t="array" ref="I148">IF($D148="","",IF(ISTEXT($D148),LEN($D148)-LEN(SUBSTITUTE($D148,":","")),-1))</f>
      </c>
      <c r="J148" s="29" cm="1">
        <f t="array" ref="J148">_xlfn.IFERROR(FIND(":",$D148),0)</f>
        <v>0</v>
      </c>
      <c r="K148" s="29" cm="1">
        <f t="array" ref="K148">_xlfn.IFERROR(FIND(":",$D148,$J148+1),0)</f>
        <v>0</v>
      </c>
      <c r="L148" t="str" s="30" cm="1">
        <f t="array" ref="L148">IF($D148="","",IF($I148=2,MID($D148,$K148+1,10),IF($I148=1,MID($D148,$J148+1,10),IF($I148=0,$D148,""))))</f>
      </c>
      <c r="M148" s="29" cm="1">
        <f t="array" ref="M148">IF($L148="",0,_xlfn.IFERROR(FIND(".",SUBSTITUTE($L148,",",".")),0))</f>
        <v>0</v>
      </c>
      <c r="N148" s="29" cm="1">
        <f t="array" ref="N148">IF($E148="",10^9,$E148)</f>
        <v>1000000000</v>
      </c>
      <c r="O148" t="str" s="30" cm="1">
        <f t="array" ref="O148">IF($E148="","",SUM($E$11:$E148))</f>
      </c>
      <c r="P148" t="str" s="30" cm="1">
        <f t="array" ref="P148">IF($E148="","",($D$6/$D$7+$O148)/COUNT($E$11:$E148))</f>
      </c>
      <c r="Q148" s="29" cm="1">
        <f t="array" ref="Q148">IF($E148="",0,IF(AND($E148&lt;$P148,OR($E149="",$P148&lt;=$E149)),1,0))</f>
        <v>0</v>
      </c>
      <c r="R148" s="27" cm="1">
        <f t="array" ref="R148">IF($V$4=0,"",ROUND($V$4,1)-10+(148-11)*0.1)</f>
        <v>3158.9</v>
      </c>
      <c r="S148" s="28">
        <v>4000</v>
      </c>
      <c r="T148" t="str" s="30" cm="1">
        <f t="array" ref="T148">IF($E148="","",ROUND($G148/$D$8,0)*$D$8)</f>
      </c>
      <c r="U148" s="14"/>
      <c r="V148" s="8"/>
    </row>
    <row r="149" ht="13.55" customHeight="1">
      <c r="A149" t="str" s="30" cm="1">
        <f t="array" ref="A149">IF($E149="","",COUNT($E$11:$E149))</f>
      </c>
      <c r="B149" s="39"/>
      <c r="C149" s="39"/>
      <c r="D149" s="39"/>
      <c r="E149" t="str" s="30" cm="1">
        <f t="array" ref="E149">IF($D149="","",_xlfn.IFERROR(IF($I149=-1,IF($D149&lt;0.5,$D149*86400,IF($D149&lt;100,$D149*1440,$D149)),IF($I149=2,VALUE(LEFT($D149,$J149-1))*3600+VALUE(MID($D149,$J149+1,$K149-$J149-1))*60,IF($I149=1,VALUE(LEFT($D149,$J149-1))*60,0))+IF($M149=0,VALUE($L149),VALUE(LEFT($L149,$M149-1))+VALUE(MID($L149,$M149+1,10))/10^(LEN($L149)-$M149))),""))</f>
      </c>
      <c r="F149" t="str" s="30" cm="1">
        <f t="array" ref="F149">IF($E149="","",MAX(0,$I$7-$E149))</f>
      </c>
      <c r="G149" t="str" s="30" cm="1">
        <f t="array" ref="G149">IF($E149="","",$F149*$D$7)</f>
      </c>
      <c r="H149" t="str" s="30" cm="1">
        <f t="array" ref="H149">IF($E149="","",$T149+IF(AND($V$6&gt;=$D$8,COUNT($E$11:$E149)=$V$7+1),$D$8,0))</f>
      </c>
      <c r="I149" t="str" s="30" cm="1">
        <f t="array" ref="I149">IF($D149="","",IF(ISTEXT($D149),LEN($D149)-LEN(SUBSTITUTE($D149,":","")),-1))</f>
      </c>
      <c r="J149" s="29" cm="1">
        <f t="array" ref="J149">_xlfn.IFERROR(FIND(":",$D149),0)</f>
        <v>0</v>
      </c>
      <c r="K149" s="29" cm="1">
        <f t="array" ref="K149">_xlfn.IFERROR(FIND(":",$D149,$J149+1),0)</f>
        <v>0</v>
      </c>
      <c r="L149" t="str" s="30" cm="1">
        <f t="array" ref="L149">IF($D149="","",IF($I149=2,MID($D149,$K149+1,10),IF($I149=1,MID($D149,$J149+1,10),IF($I149=0,$D149,""))))</f>
      </c>
      <c r="M149" s="29" cm="1">
        <f t="array" ref="M149">IF($L149="",0,_xlfn.IFERROR(FIND(".",SUBSTITUTE($L149,",",".")),0))</f>
        <v>0</v>
      </c>
      <c r="N149" s="29" cm="1">
        <f t="array" ref="N149">IF($E149="",10^9,$E149)</f>
        <v>1000000000</v>
      </c>
      <c r="O149" t="str" s="30" cm="1">
        <f t="array" ref="O149">IF($E149="","",SUM($E$11:$E149))</f>
      </c>
      <c r="P149" t="str" s="30" cm="1">
        <f t="array" ref="P149">IF($E149="","",($D$6/$D$7+$O149)/COUNT($E$11:$E149))</f>
      </c>
      <c r="Q149" s="29" cm="1">
        <f t="array" ref="Q149">IF($E149="",0,IF(AND($E149&lt;$P149,OR($E150="",$P149&lt;=$E150)),1,0))</f>
        <v>0</v>
      </c>
      <c r="R149" s="27" cm="1">
        <f t="array" ref="R149">IF($V$4=0,"",ROUND($V$4,1)-10+(149-11)*0.1)</f>
        <v>3159</v>
      </c>
      <c r="S149" s="28">
        <v>4000</v>
      </c>
      <c r="T149" t="str" s="30" cm="1">
        <f t="array" ref="T149">IF($E149="","",ROUND($G149/$D$8,0)*$D$8)</f>
      </c>
      <c r="U149" s="14"/>
      <c r="V149" s="8"/>
    </row>
    <row r="150" ht="13.55" customHeight="1">
      <c r="A150" t="str" s="30" cm="1">
        <f t="array" ref="A150">IF($E150="","",COUNT($E$11:$E150))</f>
      </c>
      <c r="B150" s="39"/>
      <c r="C150" s="39"/>
      <c r="D150" s="39"/>
      <c r="E150" t="str" s="30" cm="1">
        <f t="array" ref="E150">IF($D150="","",_xlfn.IFERROR(IF($I150=-1,IF($D150&lt;0.5,$D150*86400,IF($D150&lt;100,$D150*1440,$D150)),IF($I150=2,VALUE(LEFT($D150,$J150-1))*3600+VALUE(MID($D150,$J150+1,$K150-$J150-1))*60,IF($I150=1,VALUE(LEFT($D150,$J150-1))*60,0))+IF($M150=0,VALUE($L150),VALUE(LEFT($L150,$M150-1))+VALUE(MID($L150,$M150+1,10))/10^(LEN($L150)-$M150))),""))</f>
      </c>
      <c r="F150" t="str" s="30" cm="1">
        <f t="array" ref="F150">IF($E150="","",MAX(0,$I$7-$E150))</f>
      </c>
      <c r="G150" t="str" s="30" cm="1">
        <f t="array" ref="G150">IF($E150="","",$F150*$D$7)</f>
      </c>
      <c r="H150" t="str" s="30" cm="1">
        <f t="array" ref="H150">IF($E150="","",$T150+IF(AND($V$6&gt;=$D$8,COUNT($E$11:$E150)=$V$7+1),$D$8,0))</f>
      </c>
      <c r="I150" t="str" s="30" cm="1">
        <f t="array" ref="I150">IF($D150="","",IF(ISTEXT($D150),LEN($D150)-LEN(SUBSTITUTE($D150,":","")),-1))</f>
      </c>
      <c r="J150" s="29" cm="1">
        <f t="array" ref="J150">_xlfn.IFERROR(FIND(":",$D150),0)</f>
        <v>0</v>
      </c>
      <c r="K150" s="29" cm="1">
        <f t="array" ref="K150">_xlfn.IFERROR(FIND(":",$D150,$J150+1),0)</f>
        <v>0</v>
      </c>
      <c r="L150" t="str" s="30" cm="1">
        <f t="array" ref="L150">IF($D150="","",IF($I150=2,MID($D150,$K150+1,10),IF($I150=1,MID($D150,$J150+1,10),IF($I150=0,$D150,""))))</f>
      </c>
      <c r="M150" s="29" cm="1">
        <f t="array" ref="M150">IF($L150="",0,_xlfn.IFERROR(FIND(".",SUBSTITUTE($L150,",",".")),0))</f>
        <v>0</v>
      </c>
      <c r="N150" s="29" cm="1">
        <f t="array" ref="N150">IF($E150="",10^9,$E150)</f>
        <v>1000000000</v>
      </c>
      <c r="O150" t="str" s="30" cm="1">
        <f t="array" ref="O150">IF($E150="","",SUM($E$11:$E150))</f>
      </c>
      <c r="P150" t="str" s="30" cm="1">
        <f t="array" ref="P150">IF($E150="","",($D$6/$D$7+$O150)/COUNT($E$11:$E150))</f>
      </c>
      <c r="Q150" s="29" cm="1">
        <f t="array" ref="Q150">IF($E150="",0,IF(AND($E150&lt;$P150,OR($E151="",$P150&lt;=$E151)),1,0))</f>
        <v>0</v>
      </c>
      <c r="R150" s="27" cm="1">
        <f t="array" ref="R150">IF($V$4=0,"",ROUND($V$4,1)-10+(150-11)*0.1)</f>
        <v>3159.1</v>
      </c>
      <c r="S150" s="28">
        <v>4000</v>
      </c>
      <c r="T150" t="str" s="30" cm="1">
        <f t="array" ref="T150">IF($E150="","",ROUND($G150/$D$8,0)*$D$8)</f>
      </c>
      <c r="U150" s="14"/>
      <c r="V150" s="8"/>
    </row>
    <row r="151" ht="13.55" customHeight="1">
      <c r="A151" t="str" s="30" cm="1">
        <f t="array" ref="A151">IF($E151="","",COUNT($E$11:$E151))</f>
      </c>
      <c r="B151" s="39"/>
      <c r="C151" s="39"/>
      <c r="D151" s="39"/>
      <c r="E151" t="str" s="30" cm="1">
        <f t="array" ref="E151">IF($D151="","",_xlfn.IFERROR(IF($I151=-1,IF($D151&lt;0.5,$D151*86400,IF($D151&lt;100,$D151*1440,$D151)),IF($I151=2,VALUE(LEFT($D151,$J151-1))*3600+VALUE(MID($D151,$J151+1,$K151-$J151-1))*60,IF($I151=1,VALUE(LEFT($D151,$J151-1))*60,0))+IF($M151=0,VALUE($L151),VALUE(LEFT($L151,$M151-1))+VALUE(MID($L151,$M151+1,10))/10^(LEN($L151)-$M151))),""))</f>
      </c>
      <c r="F151" t="str" s="30" cm="1">
        <f t="array" ref="F151">IF($E151="","",MAX(0,$I$7-$E151))</f>
      </c>
      <c r="G151" t="str" s="30" cm="1">
        <f t="array" ref="G151">IF($E151="","",$F151*$D$7)</f>
      </c>
      <c r="H151" t="str" s="30" cm="1">
        <f t="array" ref="H151">IF($E151="","",$T151+IF(AND($V$6&gt;=$D$8,COUNT($E$11:$E151)=$V$7+1),$D$8,0))</f>
      </c>
      <c r="I151" t="str" s="30" cm="1">
        <f t="array" ref="I151">IF($D151="","",IF(ISTEXT($D151),LEN($D151)-LEN(SUBSTITUTE($D151,":","")),-1))</f>
      </c>
      <c r="J151" s="29" cm="1">
        <f t="array" ref="J151">_xlfn.IFERROR(FIND(":",$D151),0)</f>
        <v>0</v>
      </c>
      <c r="K151" s="29" cm="1">
        <f t="array" ref="K151">_xlfn.IFERROR(FIND(":",$D151,$J151+1),0)</f>
        <v>0</v>
      </c>
      <c r="L151" t="str" s="30" cm="1">
        <f t="array" ref="L151">IF($D151="","",IF($I151=2,MID($D151,$K151+1,10),IF($I151=1,MID($D151,$J151+1,10),IF($I151=0,$D151,""))))</f>
      </c>
      <c r="M151" s="29" cm="1">
        <f t="array" ref="M151">IF($L151="",0,_xlfn.IFERROR(FIND(".",SUBSTITUTE($L151,",",".")),0))</f>
        <v>0</v>
      </c>
      <c r="N151" s="29" cm="1">
        <f t="array" ref="N151">IF($E151="",10^9,$E151)</f>
        <v>1000000000</v>
      </c>
      <c r="O151" t="str" s="30" cm="1">
        <f t="array" ref="O151">IF($E151="","",SUM($E$11:$E151))</f>
      </c>
      <c r="P151" t="str" s="30" cm="1">
        <f t="array" ref="P151">IF($E151="","",($D$6/$D$7+$O151)/COUNT($E$11:$E151))</f>
      </c>
      <c r="Q151" s="29" cm="1">
        <f t="array" ref="Q151">IF($E151="",0,IF(AND($E151&lt;$P151,OR($E152="",$P151&lt;=$E152)),1,0))</f>
        <v>0</v>
      </c>
      <c r="R151" s="27" cm="1">
        <f t="array" ref="R151">IF($V$4=0,"",ROUND($V$4,1)-10+(151-11)*0.1)</f>
        <v>3159.2</v>
      </c>
      <c r="S151" s="28">
        <v>4000</v>
      </c>
      <c r="T151" t="str" s="30" cm="1">
        <f t="array" ref="T151">IF($E151="","",ROUND($G151/$D$8,0)*$D$8)</f>
      </c>
      <c r="U151" s="14"/>
      <c r="V151" s="8"/>
    </row>
    <row r="152" ht="13.55" customHeight="1">
      <c r="A152" t="str" s="30" cm="1">
        <f t="array" ref="A152">IF($E152="","",COUNT($E$11:$E152))</f>
      </c>
      <c r="B152" s="39"/>
      <c r="C152" s="39"/>
      <c r="D152" s="39"/>
      <c r="E152" t="str" s="30" cm="1">
        <f t="array" ref="E152">IF($D152="","",_xlfn.IFERROR(IF($I152=-1,IF($D152&lt;0.5,$D152*86400,IF($D152&lt;100,$D152*1440,$D152)),IF($I152=2,VALUE(LEFT($D152,$J152-1))*3600+VALUE(MID($D152,$J152+1,$K152-$J152-1))*60,IF($I152=1,VALUE(LEFT($D152,$J152-1))*60,0))+IF($M152=0,VALUE($L152),VALUE(LEFT($L152,$M152-1))+VALUE(MID($L152,$M152+1,10))/10^(LEN($L152)-$M152))),""))</f>
      </c>
      <c r="F152" t="str" s="30" cm="1">
        <f t="array" ref="F152">IF($E152="","",MAX(0,$I$7-$E152))</f>
      </c>
      <c r="G152" t="str" s="30" cm="1">
        <f t="array" ref="G152">IF($E152="","",$F152*$D$7)</f>
      </c>
      <c r="H152" t="str" s="30" cm="1">
        <f t="array" ref="H152">IF($E152="","",$T152+IF(AND($V$6&gt;=$D$8,COUNT($E$11:$E152)=$V$7+1),$D$8,0))</f>
      </c>
      <c r="I152" t="str" s="30" cm="1">
        <f t="array" ref="I152">IF($D152="","",IF(ISTEXT($D152),LEN($D152)-LEN(SUBSTITUTE($D152,":","")),-1))</f>
      </c>
      <c r="J152" s="29" cm="1">
        <f t="array" ref="J152">_xlfn.IFERROR(FIND(":",$D152),0)</f>
        <v>0</v>
      </c>
      <c r="K152" s="29" cm="1">
        <f t="array" ref="K152">_xlfn.IFERROR(FIND(":",$D152,$J152+1),0)</f>
        <v>0</v>
      </c>
      <c r="L152" t="str" s="30" cm="1">
        <f t="array" ref="L152">IF($D152="","",IF($I152=2,MID($D152,$K152+1,10),IF($I152=1,MID($D152,$J152+1,10),IF($I152=0,$D152,""))))</f>
      </c>
      <c r="M152" s="29" cm="1">
        <f t="array" ref="M152">IF($L152="",0,_xlfn.IFERROR(FIND(".",SUBSTITUTE($L152,",",".")),0))</f>
        <v>0</v>
      </c>
      <c r="N152" s="29" cm="1">
        <f t="array" ref="N152">IF($E152="",10^9,$E152)</f>
        <v>1000000000</v>
      </c>
      <c r="O152" t="str" s="30" cm="1">
        <f t="array" ref="O152">IF($E152="","",SUM($E$11:$E152))</f>
      </c>
      <c r="P152" t="str" s="30" cm="1">
        <f t="array" ref="P152">IF($E152="","",($D$6/$D$7+$O152)/COUNT($E$11:$E152))</f>
      </c>
      <c r="Q152" s="29" cm="1">
        <f t="array" ref="Q152">IF($E152="",0,IF(AND($E152&lt;$P152,OR($E153="",$P152&lt;=$E153)),1,0))</f>
        <v>0</v>
      </c>
      <c r="R152" s="27" cm="1">
        <f t="array" ref="R152">IF($V$4=0,"",ROUND($V$4,1)-10+(152-11)*0.1)</f>
        <v>3159.3</v>
      </c>
      <c r="S152" s="28">
        <v>4000</v>
      </c>
      <c r="T152" t="str" s="30" cm="1">
        <f t="array" ref="T152">IF($E152="","",ROUND($G152/$D$8,0)*$D$8)</f>
      </c>
      <c r="U152" s="14"/>
      <c r="V152" s="8"/>
    </row>
    <row r="153" ht="13.55" customHeight="1">
      <c r="A153" t="str" s="30" cm="1">
        <f t="array" ref="A153">IF($E153="","",COUNT($E$11:$E153))</f>
      </c>
      <c r="B153" s="39"/>
      <c r="C153" s="39"/>
      <c r="D153" s="39"/>
      <c r="E153" t="str" s="30" cm="1">
        <f t="array" ref="E153">IF($D153="","",_xlfn.IFERROR(IF($I153=-1,IF($D153&lt;0.5,$D153*86400,IF($D153&lt;100,$D153*1440,$D153)),IF($I153=2,VALUE(LEFT($D153,$J153-1))*3600+VALUE(MID($D153,$J153+1,$K153-$J153-1))*60,IF($I153=1,VALUE(LEFT($D153,$J153-1))*60,0))+IF($M153=0,VALUE($L153),VALUE(LEFT($L153,$M153-1))+VALUE(MID($L153,$M153+1,10))/10^(LEN($L153)-$M153))),""))</f>
      </c>
      <c r="F153" t="str" s="30" cm="1">
        <f t="array" ref="F153">IF($E153="","",MAX(0,$I$7-$E153))</f>
      </c>
      <c r="G153" t="str" s="30" cm="1">
        <f t="array" ref="G153">IF($E153="","",$F153*$D$7)</f>
      </c>
      <c r="H153" t="str" s="30" cm="1">
        <f t="array" ref="H153">IF($E153="","",$T153+IF(AND($V$6&gt;=$D$8,COUNT($E$11:$E153)=$V$7+1),$D$8,0))</f>
      </c>
      <c r="I153" t="str" s="30" cm="1">
        <f t="array" ref="I153">IF($D153="","",IF(ISTEXT($D153),LEN($D153)-LEN(SUBSTITUTE($D153,":","")),-1))</f>
      </c>
      <c r="J153" s="29" cm="1">
        <f t="array" ref="J153">_xlfn.IFERROR(FIND(":",$D153),0)</f>
        <v>0</v>
      </c>
      <c r="K153" s="29" cm="1">
        <f t="array" ref="K153">_xlfn.IFERROR(FIND(":",$D153,$J153+1),0)</f>
        <v>0</v>
      </c>
      <c r="L153" t="str" s="30" cm="1">
        <f t="array" ref="L153">IF($D153="","",IF($I153=2,MID($D153,$K153+1,10),IF($I153=1,MID($D153,$J153+1,10),IF($I153=0,$D153,""))))</f>
      </c>
      <c r="M153" s="29" cm="1">
        <f t="array" ref="M153">IF($L153="",0,_xlfn.IFERROR(FIND(".",SUBSTITUTE($L153,",",".")),0))</f>
        <v>0</v>
      </c>
      <c r="N153" s="29" cm="1">
        <f t="array" ref="N153">IF($E153="",10^9,$E153)</f>
        <v>1000000000</v>
      </c>
      <c r="O153" t="str" s="30" cm="1">
        <f t="array" ref="O153">IF($E153="","",SUM($E$11:$E153))</f>
      </c>
      <c r="P153" t="str" s="30" cm="1">
        <f t="array" ref="P153">IF($E153="","",($D$6/$D$7+$O153)/COUNT($E$11:$E153))</f>
      </c>
      <c r="Q153" s="29" cm="1">
        <f t="array" ref="Q153">IF($E153="",0,IF(AND($E153&lt;$P153,OR($E154="",$P153&lt;=$E154)),1,0))</f>
        <v>0</v>
      </c>
      <c r="R153" s="27" cm="1">
        <f t="array" ref="R153">IF($V$4=0,"",ROUND($V$4,1)-10+(153-11)*0.1)</f>
        <v>3159.4</v>
      </c>
      <c r="S153" s="28">
        <v>4000</v>
      </c>
      <c r="T153" t="str" s="30" cm="1">
        <f t="array" ref="T153">IF($E153="","",ROUND($G153/$D$8,0)*$D$8)</f>
      </c>
      <c r="U153" s="14"/>
      <c r="V153" s="8"/>
    </row>
    <row r="154" ht="13.55" customHeight="1">
      <c r="A154" t="str" s="30" cm="1">
        <f t="array" ref="A154">IF($E154="","",COUNT($E$11:$E154))</f>
      </c>
      <c r="B154" s="39"/>
      <c r="C154" s="39"/>
      <c r="D154" s="39"/>
      <c r="E154" t="str" s="30" cm="1">
        <f t="array" ref="E154">IF($D154="","",_xlfn.IFERROR(IF($I154=-1,IF($D154&lt;0.5,$D154*86400,IF($D154&lt;100,$D154*1440,$D154)),IF($I154=2,VALUE(LEFT($D154,$J154-1))*3600+VALUE(MID($D154,$J154+1,$K154-$J154-1))*60,IF($I154=1,VALUE(LEFT($D154,$J154-1))*60,0))+IF($M154=0,VALUE($L154),VALUE(LEFT($L154,$M154-1))+VALUE(MID($L154,$M154+1,10))/10^(LEN($L154)-$M154))),""))</f>
      </c>
      <c r="F154" t="str" s="30" cm="1">
        <f t="array" ref="F154">IF($E154="","",MAX(0,$I$7-$E154))</f>
      </c>
      <c r="G154" t="str" s="30" cm="1">
        <f t="array" ref="G154">IF($E154="","",$F154*$D$7)</f>
      </c>
      <c r="H154" t="str" s="30" cm="1">
        <f t="array" ref="H154">IF($E154="","",$T154+IF(AND($V$6&gt;=$D$8,COUNT($E$11:$E154)=$V$7+1),$D$8,0))</f>
      </c>
      <c r="I154" t="str" s="30" cm="1">
        <f t="array" ref="I154">IF($D154="","",IF(ISTEXT($D154),LEN($D154)-LEN(SUBSTITUTE($D154,":","")),-1))</f>
      </c>
      <c r="J154" s="29" cm="1">
        <f t="array" ref="J154">_xlfn.IFERROR(FIND(":",$D154),0)</f>
        <v>0</v>
      </c>
      <c r="K154" s="29" cm="1">
        <f t="array" ref="K154">_xlfn.IFERROR(FIND(":",$D154,$J154+1),0)</f>
        <v>0</v>
      </c>
      <c r="L154" t="str" s="30" cm="1">
        <f t="array" ref="L154">IF($D154="","",IF($I154=2,MID($D154,$K154+1,10),IF($I154=1,MID($D154,$J154+1,10),IF($I154=0,$D154,""))))</f>
      </c>
      <c r="M154" s="29" cm="1">
        <f t="array" ref="M154">IF($L154="",0,_xlfn.IFERROR(FIND(".",SUBSTITUTE($L154,",",".")),0))</f>
        <v>0</v>
      </c>
      <c r="N154" s="29" cm="1">
        <f t="array" ref="N154">IF($E154="",10^9,$E154)</f>
        <v>1000000000</v>
      </c>
      <c r="O154" t="str" s="30" cm="1">
        <f t="array" ref="O154">IF($E154="","",SUM($E$11:$E154))</f>
      </c>
      <c r="P154" t="str" s="30" cm="1">
        <f t="array" ref="P154">IF($E154="","",($D$6/$D$7+$O154)/COUNT($E$11:$E154))</f>
      </c>
      <c r="Q154" s="29" cm="1">
        <f t="array" ref="Q154">IF($E154="",0,IF(AND($E154&lt;$P154,OR($E155="",$P154&lt;=$E155)),1,0))</f>
        <v>0</v>
      </c>
      <c r="R154" s="27" cm="1">
        <f t="array" ref="R154">IF($V$4=0,"",ROUND($V$4,1)-10+(154-11)*0.1)</f>
        <v>3159.5</v>
      </c>
      <c r="S154" s="28">
        <v>4000</v>
      </c>
      <c r="T154" t="str" s="30" cm="1">
        <f t="array" ref="T154">IF($E154="","",ROUND($G154/$D$8,0)*$D$8)</f>
      </c>
      <c r="U154" s="14"/>
      <c r="V154" s="8"/>
    </row>
    <row r="155" ht="13.55" customHeight="1">
      <c r="A155" t="str" s="30" cm="1">
        <f t="array" ref="A155">IF($E155="","",COUNT($E$11:$E155))</f>
      </c>
      <c r="B155" s="39"/>
      <c r="C155" s="39"/>
      <c r="D155" s="39"/>
      <c r="E155" t="str" s="30" cm="1">
        <f t="array" ref="E155">IF($D155="","",_xlfn.IFERROR(IF($I155=-1,IF($D155&lt;0.5,$D155*86400,IF($D155&lt;100,$D155*1440,$D155)),IF($I155=2,VALUE(LEFT($D155,$J155-1))*3600+VALUE(MID($D155,$J155+1,$K155-$J155-1))*60,IF($I155=1,VALUE(LEFT($D155,$J155-1))*60,0))+IF($M155=0,VALUE($L155),VALUE(LEFT($L155,$M155-1))+VALUE(MID($L155,$M155+1,10))/10^(LEN($L155)-$M155))),""))</f>
      </c>
      <c r="F155" t="str" s="30" cm="1">
        <f t="array" ref="F155">IF($E155="","",MAX(0,$I$7-$E155))</f>
      </c>
      <c r="G155" t="str" s="30" cm="1">
        <f t="array" ref="G155">IF($E155="","",$F155*$D$7)</f>
      </c>
      <c r="H155" t="str" s="30" cm="1">
        <f t="array" ref="H155">IF($E155="","",$T155+IF(AND($V$6&gt;=$D$8,COUNT($E$11:$E155)=$V$7+1),$D$8,0))</f>
      </c>
      <c r="I155" t="str" s="30" cm="1">
        <f t="array" ref="I155">IF($D155="","",IF(ISTEXT($D155),LEN($D155)-LEN(SUBSTITUTE($D155,":","")),-1))</f>
      </c>
      <c r="J155" s="29" cm="1">
        <f t="array" ref="J155">_xlfn.IFERROR(FIND(":",$D155),0)</f>
        <v>0</v>
      </c>
      <c r="K155" s="29" cm="1">
        <f t="array" ref="K155">_xlfn.IFERROR(FIND(":",$D155,$J155+1),0)</f>
        <v>0</v>
      </c>
      <c r="L155" t="str" s="30" cm="1">
        <f t="array" ref="L155">IF($D155="","",IF($I155=2,MID($D155,$K155+1,10),IF($I155=1,MID($D155,$J155+1,10),IF($I155=0,$D155,""))))</f>
      </c>
      <c r="M155" s="29" cm="1">
        <f t="array" ref="M155">IF($L155="",0,_xlfn.IFERROR(FIND(".",SUBSTITUTE($L155,",",".")),0))</f>
        <v>0</v>
      </c>
      <c r="N155" s="29" cm="1">
        <f t="array" ref="N155">IF($E155="",10^9,$E155)</f>
        <v>1000000000</v>
      </c>
      <c r="O155" t="str" s="30" cm="1">
        <f t="array" ref="O155">IF($E155="","",SUM($E$11:$E155))</f>
      </c>
      <c r="P155" t="str" s="30" cm="1">
        <f t="array" ref="P155">IF($E155="","",($D$6/$D$7+$O155)/COUNT($E$11:$E155))</f>
      </c>
      <c r="Q155" s="29" cm="1">
        <f t="array" ref="Q155">IF($E155="",0,IF(AND($E155&lt;$P155,OR($E156="",$P155&lt;=$E156)),1,0))</f>
        <v>0</v>
      </c>
      <c r="R155" s="27" cm="1">
        <f t="array" ref="R155">IF($V$4=0,"",ROUND($V$4,1)-10+(155-11)*0.1)</f>
        <v>3159.6</v>
      </c>
      <c r="S155" s="28">
        <v>4000</v>
      </c>
      <c r="T155" t="str" s="30" cm="1">
        <f t="array" ref="T155">IF($E155="","",ROUND($G155/$D$8,0)*$D$8)</f>
      </c>
      <c r="U155" s="14"/>
      <c r="V155" s="8"/>
    </row>
    <row r="156" ht="13.55" customHeight="1">
      <c r="A156" t="str" s="30" cm="1">
        <f t="array" ref="A156">IF($E156="","",COUNT($E$11:$E156))</f>
      </c>
      <c r="B156" s="39"/>
      <c r="C156" s="39"/>
      <c r="D156" s="39"/>
      <c r="E156" t="str" s="30" cm="1">
        <f t="array" ref="E156">IF($D156="","",_xlfn.IFERROR(IF($I156=-1,IF($D156&lt;0.5,$D156*86400,IF($D156&lt;100,$D156*1440,$D156)),IF($I156=2,VALUE(LEFT($D156,$J156-1))*3600+VALUE(MID($D156,$J156+1,$K156-$J156-1))*60,IF($I156=1,VALUE(LEFT($D156,$J156-1))*60,0))+IF($M156=0,VALUE($L156),VALUE(LEFT($L156,$M156-1))+VALUE(MID($L156,$M156+1,10))/10^(LEN($L156)-$M156))),""))</f>
      </c>
      <c r="F156" t="str" s="30" cm="1">
        <f t="array" ref="F156">IF($E156="","",MAX(0,$I$7-$E156))</f>
      </c>
      <c r="G156" t="str" s="30" cm="1">
        <f t="array" ref="G156">IF($E156="","",$F156*$D$7)</f>
      </c>
      <c r="H156" t="str" s="30" cm="1">
        <f t="array" ref="H156">IF($E156="","",$T156+IF(AND($V$6&gt;=$D$8,COUNT($E$11:$E156)=$V$7+1),$D$8,0))</f>
      </c>
      <c r="I156" t="str" s="30" cm="1">
        <f t="array" ref="I156">IF($D156="","",IF(ISTEXT($D156),LEN($D156)-LEN(SUBSTITUTE($D156,":","")),-1))</f>
      </c>
      <c r="J156" s="29" cm="1">
        <f t="array" ref="J156">_xlfn.IFERROR(FIND(":",$D156),0)</f>
        <v>0</v>
      </c>
      <c r="K156" s="29" cm="1">
        <f t="array" ref="K156">_xlfn.IFERROR(FIND(":",$D156,$J156+1),0)</f>
        <v>0</v>
      </c>
      <c r="L156" t="str" s="30" cm="1">
        <f t="array" ref="L156">IF($D156="","",IF($I156=2,MID($D156,$K156+1,10),IF($I156=1,MID($D156,$J156+1,10),IF($I156=0,$D156,""))))</f>
      </c>
      <c r="M156" s="29" cm="1">
        <f t="array" ref="M156">IF($L156="",0,_xlfn.IFERROR(FIND(".",SUBSTITUTE($L156,",",".")),0))</f>
        <v>0</v>
      </c>
      <c r="N156" s="29" cm="1">
        <f t="array" ref="N156">IF($E156="",10^9,$E156)</f>
        <v>1000000000</v>
      </c>
      <c r="O156" t="str" s="30" cm="1">
        <f t="array" ref="O156">IF($E156="","",SUM($E$11:$E156))</f>
      </c>
      <c r="P156" t="str" s="30" cm="1">
        <f t="array" ref="P156">IF($E156="","",($D$6/$D$7+$O156)/COUNT($E$11:$E156))</f>
      </c>
      <c r="Q156" s="29" cm="1">
        <f t="array" ref="Q156">IF($E156="",0,IF(AND($E156&lt;$P156,OR($E157="",$P156&lt;=$E157)),1,0))</f>
        <v>0</v>
      </c>
      <c r="R156" s="27" cm="1">
        <f t="array" ref="R156">IF($V$4=0,"",ROUND($V$4,1)-10+(156-11)*0.1)</f>
        <v>3159.7</v>
      </c>
      <c r="S156" s="28">
        <v>4000</v>
      </c>
      <c r="T156" t="str" s="30" cm="1">
        <f t="array" ref="T156">IF($E156="","",ROUND($G156/$D$8,0)*$D$8)</f>
      </c>
      <c r="U156" s="14"/>
      <c r="V156" s="8"/>
    </row>
    <row r="157" ht="13.55" customHeight="1">
      <c r="A157" t="str" s="30" cm="1">
        <f t="array" ref="A157">IF($E157="","",COUNT($E$11:$E157))</f>
      </c>
      <c r="B157" s="39"/>
      <c r="C157" s="39"/>
      <c r="D157" s="39"/>
      <c r="E157" t="str" s="30" cm="1">
        <f t="array" ref="E157">IF($D157="","",_xlfn.IFERROR(IF($I157=-1,IF($D157&lt;0.5,$D157*86400,IF($D157&lt;100,$D157*1440,$D157)),IF($I157=2,VALUE(LEFT($D157,$J157-1))*3600+VALUE(MID($D157,$J157+1,$K157-$J157-1))*60,IF($I157=1,VALUE(LEFT($D157,$J157-1))*60,0))+IF($M157=0,VALUE($L157),VALUE(LEFT($L157,$M157-1))+VALUE(MID($L157,$M157+1,10))/10^(LEN($L157)-$M157))),""))</f>
      </c>
      <c r="F157" t="str" s="30" cm="1">
        <f t="array" ref="F157">IF($E157="","",MAX(0,$I$7-$E157))</f>
      </c>
      <c r="G157" t="str" s="30" cm="1">
        <f t="array" ref="G157">IF($E157="","",$F157*$D$7)</f>
      </c>
      <c r="H157" t="str" s="30" cm="1">
        <f t="array" ref="H157">IF($E157="","",$T157+IF(AND($V$6&gt;=$D$8,COUNT($E$11:$E157)=$V$7+1),$D$8,0))</f>
      </c>
      <c r="I157" t="str" s="30" cm="1">
        <f t="array" ref="I157">IF($D157="","",IF(ISTEXT($D157),LEN($D157)-LEN(SUBSTITUTE($D157,":","")),-1))</f>
      </c>
      <c r="J157" s="29" cm="1">
        <f t="array" ref="J157">_xlfn.IFERROR(FIND(":",$D157),0)</f>
        <v>0</v>
      </c>
      <c r="K157" s="29" cm="1">
        <f t="array" ref="K157">_xlfn.IFERROR(FIND(":",$D157,$J157+1),0)</f>
        <v>0</v>
      </c>
      <c r="L157" t="str" s="30" cm="1">
        <f t="array" ref="L157">IF($D157="","",IF($I157=2,MID($D157,$K157+1,10),IF($I157=1,MID($D157,$J157+1,10),IF($I157=0,$D157,""))))</f>
      </c>
      <c r="M157" s="29" cm="1">
        <f t="array" ref="M157">IF($L157="",0,_xlfn.IFERROR(FIND(".",SUBSTITUTE($L157,",",".")),0))</f>
        <v>0</v>
      </c>
      <c r="N157" s="29" cm="1">
        <f t="array" ref="N157">IF($E157="",10^9,$E157)</f>
        <v>1000000000</v>
      </c>
      <c r="O157" t="str" s="30" cm="1">
        <f t="array" ref="O157">IF($E157="","",SUM($E$11:$E157))</f>
      </c>
      <c r="P157" t="str" s="30" cm="1">
        <f t="array" ref="P157">IF($E157="","",($D$6/$D$7+$O157)/COUNT($E$11:$E157))</f>
      </c>
      <c r="Q157" s="29" cm="1">
        <f t="array" ref="Q157">IF($E157="",0,IF(AND($E157&lt;$P157,OR($E158="",$P157&lt;=$E158)),1,0))</f>
        <v>0</v>
      </c>
      <c r="R157" s="27" cm="1">
        <f t="array" ref="R157">IF($V$4=0,"",ROUND($V$4,1)-10+(157-11)*0.1)</f>
        <v>3159.8</v>
      </c>
      <c r="S157" s="28">
        <v>4000</v>
      </c>
      <c r="T157" t="str" s="30" cm="1">
        <f t="array" ref="T157">IF($E157="","",ROUND($G157/$D$8,0)*$D$8)</f>
      </c>
      <c r="U157" s="14"/>
      <c r="V157" s="8"/>
    </row>
    <row r="158" ht="13.55" customHeight="1">
      <c r="A158" t="str" s="30" cm="1">
        <f t="array" ref="A158">IF($E158="","",COUNT($E$11:$E158))</f>
      </c>
      <c r="B158" s="39"/>
      <c r="C158" s="39"/>
      <c r="D158" s="39"/>
      <c r="E158" t="str" s="30" cm="1">
        <f t="array" ref="E158">IF($D158="","",_xlfn.IFERROR(IF($I158=-1,IF($D158&lt;0.5,$D158*86400,IF($D158&lt;100,$D158*1440,$D158)),IF($I158=2,VALUE(LEFT($D158,$J158-1))*3600+VALUE(MID($D158,$J158+1,$K158-$J158-1))*60,IF($I158=1,VALUE(LEFT($D158,$J158-1))*60,0))+IF($M158=0,VALUE($L158),VALUE(LEFT($L158,$M158-1))+VALUE(MID($L158,$M158+1,10))/10^(LEN($L158)-$M158))),""))</f>
      </c>
      <c r="F158" t="str" s="30" cm="1">
        <f t="array" ref="F158">IF($E158="","",MAX(0,$I$7-$E158))</f>
      </c>
      <c r="G158" t="str" s="30" cm="1">
        <f t="array" ref="G158">IF($E158="","",$F158*$D$7)</f>
      </c>
      <c r="H158" t="str" s="30" cm="1">
        <f t="array" ref="H158">IF($E158="","",$T158+IF(AND($V$6&gt;=$D$8,COUNT($E$11:$E158)=$V$7+1),$D$8,0))</f>
      </c>
      <c r="I158" t="str" s="30" cm="1">
        <f t="array" ref="I158">IF($D158="","",IF(ISTEXT($D158),LEN($D158)-LEN(SUBSTITUTE($D158,":","")),-1))</f>
      </c>
      <c r="J158" s="29" cm="1">
        <f t="array" ref="J158">_xlfn.IFERROR(FIND(":",$D158),0)</f>
        <v>0</v>
      </c>
      <c r="K158" s="29" cm="1">
        <f t="array" ref="K158">_xlfn.IFERROR(FIND(":",$D158,$J158+1),0)</f>
        <v>0</v>
      </c>
      <c r="L158" t="str" s="30" cm="1">
        <f t="array" ref="L158">IF($D158="","",IF($I158=2,MID($D158,$K158+1,10),IF($I158=1,MID($D158,$J158+1,10),IF($I158=0,$D158,""))))</f>
      </c>
      <c r="M158" s="29" cm="1">
        <f t="array" ref="M158">IF($L158="",0,_xlfn.IFERROR(FIND(".",SUBSTITUTE($L158,",",".")),0))</f>
        <v>0</v>
      </c>
      <c r="N158" s="29" cm="1">
        <f t="array" ref="N158">IF($E158="",10^9,$E158)</f>
        <v>1000000000</v>
      </c>
      <c r="O158" t="str" s="30" cm="1">
        <f t="array" ref="O158">IF($E158="","",SUM($E$11:$E158))</f>
      </c>
      <c r="P158" t="str" s="30" cm="1">
        <f t="array" ref="P158">IF($E158="","",($D$6/$D$7+$O158)/COUNT($E$11:$E158))</f>
      </c>
      <c r="Q158" s="29" cm="1">
        <f t="array" ref="Q158">IF($E158="",0,IF(AND($E158&lt;$P158,OR($E159="",$P158&lt;=$E159)),1,0))</f>
        <v>0</v>
      </c>
      <c r="R158" s="27" cm="1">
        <f t="array" ref="R158">IF($V$4=0,"",ROUND($V$4,1)-10+(158-11)*0.1)</f>
        <v>3159.9</v>
      </c>
      <c r="S158" s="28">
        <v>4000</v>
      </c>
      <c r="T158" t="str" s="30" cm="1">
        <f t="array" ref="T158">IF($E158="","",ROUND($G158/$D$8,0)*$D$8)</f>
      </c>
      <c r="U158" s="14"/>
      <c r="V158" s="8"/>
    </row>
    <row r="159" ht="13.55" customHeight="1">
      <c r="A159" t="str" s="30" cm="1">
        <f t="array" ref="A159">IF($E159="","",COUNT($E$11:$E159))</f>
      </c>
      <c r="B159" s="39"/>
      <c r="C159" s="39"/>
      <c r="D159" s="39"/>
      <c r="E159" t="str" s="30" cm="1">
        <f t="array" ref="E159">IF($D159="","",_xlfn.IFERROR(IF($I159=-1,IF($D159&lt;0.5,$D159*86400,IF($D159&lt;100,$D159*1440,$D159)),IF($I159=2,VALUE(LEFT($D159,$J159-1))*3600+VALUE(MID($D159,$J159+1,$K159-$J159-1))*60,IF($I159=1,VALUE(LEFT($D159,$J159-1))*60,0))+IF($M159=0,VALUE($L159),VALUE(LEFT($L159,$M159-1))+VALUE(MID($L159,$M159+1,10))/10^(LEN($L159)-$M159))),""))</f>
      </c>
      <c r="F159" t="str" s="30" cm="1">
        <f t="array" ref="F159">IF($E159="","",MAX(0,$I$7-$E159))</f>
      </c>
      <c r="G159" t="str" s="30" cm="1">
        <f t="array" ref="G159">IF($E159="","",$F159*$D$7)</f>
      </c>
      <c r="H159" t="str" s="30" cm="1">
        <f t="array" ref="H159">IF($E159="","",$T159+IF(AND($V$6&gt;=$D$8,COUNT($E$11:$E159)=$V$7+1),$D$8,0))</f>
      </c>
      <c r="I159" t="str" s="30" cm="1">
        <f t="array" ref="I159">IF($D159="","",IF(ISTEXT($D159),LEN($D159)-LEN(SUBSTITUTE($D159,":","")),-1))</f>
      </c>
      <c r="J159" s="29" cm="1">
        <f t="array" ref="J159">_xlfn.IFERROR(FIND(":",$D159),0)</f>
        <v>0</v>
      </c>
      <c r="K159" s="29" cm="1">
        <f t="array" ref="K159">_xlfn.IFERROR(FIND(":",$D159,$J159+1),0)</f>
        <v>0</v>
      </c>
      <c r="L159" t="str" s="30" cm="1">
        <f t="array" ref="L159">IF($D159="","",IF($I159=2,MID($D159,$K159+1,10),IF($I159=1,MID($D159,$J159+1,10),IF($I159=0,$D159,""))))</f>
      </c>
      <c r="M159" s="29" cm="1">
        <f t="array" ref="M159">IF($L159="",0,_xlfn.IFERROR(FIND(".",SUBSTITUTE($L159,",",".")),0))</f>
        <v>0</v>
      </c>
      <c r="N159" s="29" cm="1">
        <f t="array" ref="N159">IF($E159="",10^9,$E159)</f>
        <v>1000000000</v>
      </c>
      <c r="O159" t="str" s="30" cm="1">
        <f t="array" ref="O159">IF($E159="","",SUM($E$11:$E159))</f>
      </c>
      <c r="P159" t="str" s="30" cm="1">
        <f t="array" ref="P159">IF($E159="","",($D$6/$D$7+$O159)/COUNT($E$11:$E159))</f>
      </c>
      <c r="Q159" s="29" cm="1">
        <f t="array" ref="Q159">IF($E159="",0,IF(AND($E159&lt;$P159,OR($E160="",$P159&lt;=$E160)),1,0))</f>
        <v>0</v>
      </c>
      <c r="R159" s="27" cm="1">
        <f t="array" ref="R159">IF($V$4=0,"",ROUND($V$4,1)-10+(159-11)*0.1)</f>
        <v>3160</v>
      </c>
      <c r="S159" s="28">
        <v>4000</v>
      </c>
      <c r="T159" t="str" s="30" cm="1">
        <f t="array" ref="T159">IF($E159="","",ROUND($G159/$D$8,0)*$D$8)</f>
      </c>
      <c r="U159" s="14"/>
      <c r="V159" s="8"/>
    </row>
    <row r="160" ht="13.55" customHeight="1">
      <c r="A160" t="str" s="30" cm="1">
        <f t="array" ref="A160">IF($E160="","",COUNT($E$11:$E160))</f>
      </c>
      <c r="B160" s="39"/>
      <c r="C160" s="39"/>
      <c r="D160" s="39"/>
      <c r="E160" t="str" s="30" cm="1">
        <f t="array" ref="E160">IF($D160="","",_xlfn.IFERROR(IF($I160=-1,IF($D160&lt;0.5,$D160*86400,IF($D160&lt;100,$D160*1440,$D160)),IF($I160=2,VALUE(LEFT($D160,$J160-1))*3600+VALUE(MID($D160,$J160+1,$K160-$J160-1))*60,IF($I160=1,VALUE(LEFT($D160,$J160-1))*60,0))+IF($M160=0,VALUE($L160),VALUE(LEFT($L160,$M160-1))+VALUE(MID($L160,$M160+1,10))/10^(LEN($L160)-$M160))),""))</f>
      </c>
      <c r="F160" t="str" s="30" cm="1">
        <f t="array" ref="F160">IF($E160="","",MAX(0,$I$7-$E160))</f>
      </c>
      <c r="G160" t="str" s="30" cm="1">
        <f t="array" ref="G160">IF($E160="","",$F160*$D$7)</f>
      </c>
      <c r="H160" t="str" s="30" cm="1">
        <f t="array" ref="H160">IF($E160="","",$T160+IF(AND($V$6&gt;=$D$8,COUNT($E$11:$E160)=$V$7+1),$D$8,0))</f>
      </c>
      <c r="I160" t="str" s="30" cm="1">
        <f t="array" ref="I160">IF($D160="","",IF(ISTEXT($D160),LEN($D160)-LEN(SUBSTITUTE($D160,":","")),-1))</f>
      </c>
      <c r="J160" s="29" cm="1">
        <f t="array" ref="J160">_xlfn.IFERROR(FIND(":",$D160),0)</f>
        <v>0</v>
      </c>
      <c r="K160" s="29" cm="1">
        <f t="array" ref="K160">_xlfn.IFERROR(FIND(":",$D160,$J160+1),0)</f>
        <v>0</v>
      </c>
      <c r="L160" t="str" s="30" cm="1">
        <f t="array" ref="L160">IF($D160="","",IF($I160=2,MID($D160,$K160+1,10),IF($I160=1,MID($D160,$J160+1,10),IF($I160=0,$D160,""))))</f>
      </c>
      <c r="M160" s="29" cm="1">
        <f t="array" ref="M160">IF($L160="",0,_xlfn.IFERROR(FIND(".",SUBSTITUTE($L160,",",".")),0))</f>
        <v>0</v>
      </c>
      <c r="N160" s="29" cm="1">
        <f t="array" ref="N160">IF($E160="",10^9,$E160)</f>
        <v>1000000000</v>
      </c>
      <c r="O160" t="str" s="30" cm="1">
        <f t="array" ref="O160">IF($E160="","",SUM($E$11:$E160))</f>
      </c>
      <c r="P160" t="str" s="30" cm="1">
        <f t="array" ref="P160">IF($E160="","",($D$6/$D$7+$O160)/COUNT($E$11:$E160))</f>
      </c>
      <c r="Q160" s="29" cm="1">
        <f t="array" ref="Q160">IF($E160="",0,IF(AND($E160&lt;$P160,OR($E161="",$P160&lt;=$E161)),1,0))</f>
        <v>0</v>
      </c>
      <c r="R160" s="27" cm="1">
        <f t="array" ref="R160">IF($V$4=0,"",ROUND($V$4,1)-10+(160-11)*0.1)</f>
        <v>3160.1</v>
      </c>
      <c r="S160" s="28">
        <v>4000</v>
      </c>
      <c r="T160" t="str" s="30" cm="1">
        <f t="array" ref="T160">IF($E160="","",ROUND($G160/$D$8,0)*$D$8)</f>
      </c>
      <c r="U160" s="14"/>
      <c r="V160" s="8"/>
    </row>
    <row r="161" ht="13.55" customHeight="1">
      <c r="A161" t="str" s="30" cm="1">
        <f t="array" ref="A161">IF($E161="","",COUNT($E$11:$E161))</f>
      </c>
      <c r="B161" s="39"/>
      <c r="C161" s="39"/>
      <c r="D161" s="39"/>
      <c r="E161" t="str" s="30" cm="1">
        <f t="array" ref="E161">IF($D161="","",_xlfn.IFERROR(IF($I161=-1,IF($D161&lt;0.5,$D161*86400,IF($D161&lt;100,$D161*1440,$D161)),IF($I161=2,VALUE(LEFT($D161,$J161-1))*3600+VALUE(MID($D161,$J161+1,$K161-$J161-1))*60,IF($I161=1,VALUE(LEFT($D161,$J161-1))*60,0))+IF($M161=0,VALUE($L161),VALUE(LEFT($L161,$M161-1))+VALUE(MID($L161,$M161+1,10))/10^(LEN($L161)-$M161))),""))</f>
      </c>
      <c r="F161" t="str" s="30" cm="1">
        <f t="array" ref="F161">IF($E161="","",MAX(0,$I$7-$E161))</f>
      </c>
      <c r="G161" t="str" s="30" cm="1">
        <f t="array" ref="G161">IF($E161="","",$F161*$D$7)</f>
      </c>
      <c r="H161" t="str" s="30" cm="1">
        <f t="array" ref="H161">IF($E161="","",$T161+IF(AND($V$6&gt;=$D$8,COUNT($E$11:$E161)=$V$7+1),$D$8,0))</f>
      </c>
      <c r="I161" t="str" s="30" cm="1">
        <f t="array" ref="I161">IF($D161="","",IF(ISTEXT($D161),LEN($D161)-LEN(SUBSTITUTE($D161,":","")),-1))</f>
      </c>
      <c r="J161" s="29" cm="1">
        <f t="array" ref="J161">_xlfn.IFERROR(FIND(":",$D161),0)</f>
        <v>0</v>
      </c>
      <c r="K161" s="29" cm="1">
        <f t="array" ref="K161">_xlfn.IFERROR(FIND(":",$D161,$J161+1),0)</f>
        <v>0</v>
      </c>
      <c r="L161" t="str" s="30" cm="1">
        <f t="array" ref="L161">IF($D161="","",IF($I161=2,MID($D161,$K161+1,10),IF($I161=1,MID($D161,$J161+1,10),IF($I161=0,$D161,""))))</f>
      </c>
      <c r="M161" s="29" cm="1">
        <f t="array" ref="M161">IF($L161="",0,_xlfn.IFERROR(FIND(".",SUBSTITUTE($L161,",",".")),0))</f>
        <v>0</v>
      </c>
      <c r="N161" s="29" cm="1">
        <f t="array" ref="N161">IF($E161="",10^9,$E161)</f>
        <v>1000000000</v>
      </c>
      <c r="O161" t="str" s="30" cm="1">
        <f t="array" ref="O161">IF($E161="","",SUM($E$11:$E161))</f>
      </c>
      <c r="P161" t="str" s="30" cm="1">
        <f t="array" ref="P161">IF($E161="","",($D$6/$D$7+$O161)/COUNT($E$11:$E161))</f>
      </c>
      <c r="Q161" s="29" cm="1">
        <f t="array" ref="Q161">IF($E161="",0,IF(AND($E161&lt;$P161,OR($E162="",$P161&lt;=$E162)),1,0))</f>
        <v>0</v>
      </c>
      <c r="R161" s="27" cm="1">
        <f t="array" ref="R161">IF($V$4=0,"",ROUND($V$4,1)-10+(161-11)*0.1)</f>
        <v>3160.2</v>
      </c>
      <c r="S161" s="28">
        <v>5000</v>
      </c>
      <c r="T161" t="str" s="30" cm="1">
        <f t="array" ref="T161">IF($E161="","",ROUND($G161/$D$8,0)*$D$8)</f>
      </c>
      <c r="U161" s="14"/>
      <c r="V161" s="8"/>
    </row>
    <row r="162" ht="13.55" customHeight="1">
      <c r="A162" t="str" s="30" cm="1">
        <f t="array" ref="A162">IF($E162="","",COUNT($E$11:$E162))</f>
      </c>
      <c r="B162" s="39"/>
      <c r="C162" s="39"/>
      <c r="D162" s="39"/>
      <c r="E162" t="str" s="30" cm="1">
        <f t="array" ref="E162">IF($D162="","",_xlfn.IFERROR(IF($I162=-1,IF($D162&lt;0.5,$D162*86400,IF($D162&lt;100,$D162*1440,$D162)),IF($I162=2,VALUE(LEFT($D162,$J162-1))*3600+VALUE(MID($D162,$J162+1,$K162-$J162-1))*60,IF($I162=1,VALUE(LEFT($D162,$J162-1))*60,0))+IF($M162=0,VALUE($L162),VALUE(LEFT($L162,$M162-1))+VALUE(MID($L162,$M162+1,10))/10^(LEN($L162)-$M162))),""))</f>
      </c>
      <c r="F162" t="str" s="30" cm="1">
        <f t="array" ref="F162">IF($E162="","",MAX(0,$I$7-$E162))</f>
      </c>
      <c r="G162" t="str" s="30" cm="1">
        <f t="array" ref="G162">IF($E162="","",$F162*$D$7)</f>
      </c>
      <c r="H162" t="str" s="30" cm="1">
        <f t="array" ref="H162">IF($E162="","",$T162+IF(AND($V$6&gt;=$D$8,COUNT($E$11:$E162)=$V$7+1),$D$8,0))</f>
      </c>
      <c r="I162" t="str" s="30" cm="1">
        <f t="array" ref="I162">IF($D162="","",IF(ISTEXT($D162),LEN($D162)-LEN(SUBSTITUTE($D162,":","")),-1))</f>
      </c>
      <c r="J162" s="29" cm="1">
        <f t="array" ref="J162">_xlfn.IFERROR(FIND(":",$D162),0)</f>
        <v>0</v>
      </c>
      <c r="K162" s="29" cm="1">
        <f t="array" ref="K162">_xlfn.IFERROR(FIND(":",$D162,$J162+1),0)</f>
        <v>0</v>
      </c>
      <c r="L162" t="str" s="30" cm="1">
        <f t="array" ref="L162">IF($D162="","",IF($I162=2,MID($D162,$K162+1,10),IF($I162=1,MID($D162,$J162+1,10),IF($I162=0,$D162,""))))</f>
      </c>
      <c r="M162" s="29" cm="1">
        <f t="array" ref="M162">IF($L162="",0,_xlfn.IFERROR(FIND(".",SUBSTITUTE($L162,",",".")),0))</f>
        <v>0</v>
      </c>
      <c r="N162" s="29" cm="1">
        <f t="array" ref="N162">IF($E162="",10^9,$E162)</f>
        <v>1000000000</v>
      </c>
      <c r="O162" t="str" s="30" cm="1">
        <f t="array" ref="O162">IF($E162="","",SUM($E$11:$E162))</f>
      </c>
      <c r="P162" t="str" s="30" cm="1">
        <f t="array" ref="P162">IF($E162="","",($D$6/$D$7+$O162)/COUNT($E$11:$E162))</f>
      </c>
      <c r="Q162" s="29" cm="1">
        <f t="array" ref="Q162">IF($E162="",0,IF(AND($E162&lt;$P162,OR($E163="",$P162&lt;=$E163)),1,0))</f>
        <v>0</v>
      </c>
      <c r="R162" s="27" cm="1">
        <f t="array" ref="R162">IF($V$4=0,"",ROUND($V$4,1)-10+(162-11)*0.1)</f>
        <v>3160.3</v>
      </c>
      <c r="S162" s="28">
        <v>5000</v>
      </c>
      <c r="T162" t="str" s="30" cm="1">
        <f t="array" ref="T162">IF($E162="","",ROUND($G162/$D$8,0)*$D$8)</f>
      </c>
      <c r="U162" s="14"/>
      <c r="V162" s="8"/>
    </row>
    <row r="163" ht="13.55" customHeight="1">
      <c r="A163" t="str" s="30" cm="1">
        <f t="array" ref="A163">IF($E163="","",COUNT($E$11:$E163))</f>
      </c>
      <c r="B163" s="39"/>
      <c r="C163" s="39"/>
      <c r="D163" s="39"/>
      <c r="E163" t="str" s="30" cm="1">
        <f t="array" ref="E163">IF($D163="","",_xlfn.IFERROR(IF($I163=-1,IF($D163&lt;0.5,$D163*86400,IF($D163&lt;100,$D163*1440,$D163)),IF($I163=2,VALUE(LEFT($D163,$J163-1))*3600+VALUE(MID($D163,$J163+1,$K163-$J163-1))*60,IF($I163=1,VALUE(LEFT($D163,$J163-1))*60,0))+IF($M163=0,VALUE($L163),VALUE(LEFT($L163,$M163-1))+VALUE(MID($L163,$M163+1,10))/10^(LEN($L163)-$M163))),""))</f>
      </c>
      <c r="F163" t="str" s="30" cm="1">
        <f t="array" ref="F163">IF($E163="","",MAX(0,$I$7-$E163))</f>
      </c>
      <c r="G163" t="str" s="30" cm="1">
        <f t="array" ref="G163">IF($E163="","",$F163*$D$7)</f>
      </c>
      <c r="H163" t="str" s="30" cm="1">
        <f t="array" ref="H163">IF($E163="","",$T163+IF(AND($V$6&gt;=$D$8,COUNT($E$11:$E163)=$V$7+1),$D$8,0))</f>
      </c>
      <c r="I163" t="str" s="30" cm="1">
        <f t="array" ref="I163">IF($D163="","",IF(ISTEXT($D163),LEN($D163)-LEN(SUBSTITUTE($D163,":","")),-1))</f>
      </c>
      <c r="J163" s="29" cm="1">
        <f t="array" ref="J163">_xlfn.IFERROR(FIND(":",$D163),0)</f>
        <v>0</v>
      </c>
      <c r="K163" s="29" cm="1">
        <f t="array" ref="K163">_xlfn.IFERROR(FIND(":",$D163,$J163+1),0)</f>
        <v>0</v>
      </c>
      <c r="L163" t="str" s="30" cm="1">
        <f t="array" ref="L163">IF($D163="","",IF($I163=2,MID($D163,$K163+1,10),IF($I163=1,MID($D163,$J163+1,10),IF($I163=0,$D163,""))))</f>
      </c>
      <c r="M163" s="29" cm="1">
        <f t="array" ref="M163">IF($L163="",0,_xlfn.IFERROR(FIND(".",SUBSTITUTE($L163,",",".")),0))</f>
        <v>0</v>
      </c>
      <c r="N163" s="29" cm="1">
        <f t="array" ref="N163">IF($E163="",10^9,$E163)</f>
        <v>1000000000</v>
      </c>
      <c r="O163" t="str" s="30" cm="1">
        <f t="array" ref="O163">IF($E163="","",SUM($E$11:$E163))</f>
      </c>
      <c r="P163" t="str" s="30" cm="1">
        <f t="array" ref="P163">IF($E163="","",($D$6/$D$7+$O163)/COUNT($E$11:$E163))</f>
      </c>
      <c r="Q163" s="29" cm="1">
        <f t="array" ref="Q163">IF($E163="",0,IF(AND($E163&lt;$P163,OR($E164="",$P163&lt;=$E164)),1,0))</f>
        <v>0</v>
      </c>
      <c r="R163" s="27" cm="1">
        <f t="array" ref="R163">IF($V$4=0,"",ROUND($V$4,1)-10+(163-11)*0.1)</f>
        <v>3160.4</v>
      </c>
      <c r="S163" s="28">
        <v>5000</v>
      </c>
      <c r="T163" t="str" s="30" cm="1">
        <f t="array" ref="T163">IF($E163="","",ROUND($G163/$D$8,0)*$D$8)</f>
      </c>
      <c r="U163" s="14"/>
      <c r="V163" s="8"/>
    </row>
    <row r="164" ht="13.55" customHeight="1">
      <c r="A164" t="str" s="30" cm="1">
        <f t="array" ref="A164">IF($E164="","",COUNT($E$11:$E164))</f>
      </c>
      <c r="B164" s="39"/>
      <c r="C164" s="39"/>
      <c r="D164" s="39"/>
      <c r="E164" t="str" s="30" cm="1">
        <f t="array" ref="E164">IF($D164="","",_xlfn.IFERROR(IF($I164=-1,IF($D164&lt;0.5,$D164*86400,IF($D164&lt;100,$D164*1440,$D164)),IF($I164=2,VALUE(LEFT($D164,$J164-1))*3600+VALUE(MID($D164,$J164+1,$K164-$J164-1))*60,IF($I164=1,VALUE(LEFT($D164,$J164-1))*60,0))+IF($M164=0,VALUE($L164),VALUE(LEFT($L164,$M164-1))+VALUE(MID($L164,$M164+1,10))/10^(LEN($L164)-$M164))),""))</f>
      </c>
      <c r="F164" t="str" s="30" cm="1">
        <f t="array" ref="F164">IF($E164="","",MAX(0,$I$7-$E164))</f>
      </c>
      <c r="G164" t="str" s="30" cm="1">
        <f t="array" ref="G164">IF($E164="","",$F164*$D$7)</f>
      </c>
      <c r="H164" t="str" s="30" cm="1">
        <f t="array" ref="H164">IF($E164="","",$T164+IF(AND($V$6&gt;=$D$8,COUNT($E$11:$E164)=$V$7+1),$D$8,0))</f>
      </c>
      <c r="I164" t="str" s="30" cm="1">
        <f t="array" ref="I164">IF($D164="","",IF(ISTEXT($D164),LEN($D164)-LEN(SUBSTITUTE($D164,":","")),-1))</f>
      </c>
      <c r="J164" s="29" cm="1">
        <f t="array" ref="J164">_xlfn.IFERROR(FIND(":",$D164),0)</f>
        <v>0</v>
      </c>
      <c r="K164" s="29" cm="1">
        <f t="array" ref="K164">_xlfn.IFERROR(FIND(":",$D164,$J164+1),0)</f>
        <v>0</v>
      </c>
      <c r="L164" t="str" s="30" cm="1">
        <f t="array" ref="L164">IF($D164="","",IF($I164=2,MID($D164,$K164+1,10),IF($I164=1,MID($D164,$J164+1,10),IF($I164=0,$D164,""))))</f>
      </c>
      <c r="M164" s="29" cm="1">
        <f t="array" ref="M164">IF($L164="",0,_xlfn.IFERROR(FIND(".",SUBSTITUTE($L164,",",".")),0))</f>
        <v>0</v>
      </c>
      <c r="N164" s="29" cm="1">
        <f t="array" ref="N164">IF($E164="",10^9,$E164)</f>
        <v>1000000000</v>
      </c>
      <c r="O164" t="str" s="30" cm="1">
        <f t="array" ref="O164">IF($E164="","",SUM($E$11:$E164))</f>
      </c>
      <c r="P164" t="str" s="30" cm="1">
        <f t="array" ref="P164">IF($E164="","",($D$6/$D$7+$O164)/COUNT($E$11:$E164))</f>
      </c>
      <c r="Q164" s="29" cm="1">
        <f t="array" ref="Q164">IF($E164="",0,IF(AND($E164&lt;$P164,OR($E165="",$P164&lt;=$E165)),1,0))</f>
        <v>0</v>
      </c>
      <c r="R164" s="27" cm="1">
        <f t="array" ref="R164">IF($V$4=0,"",ROUND($V$4,1)-10+(164-11)*0.1)</f>
        <v>3160.5</v>
      </c>
      <c r="S164" s="28">
        <v>5000</v>
      </c>
      <c r="T164" t="str" s="30" cm="1">
        <f t="array" ref="T164">IF($E164="","",ROUND($G164/$D$8,0)*$D$8)</f>
      </c>
      <c r="U164" s="14"/>
      <c r="V164" s="8"/>
    </row>
    <row r="165" ht="13.55" customHeight="1">
      <c r="A165" t="str" s="30" cm="1">
        <f t="array" ref="A165">IF($E165="","",COUNT($E$11:$E165))</f>
      </c>
      <c r="B165" s="39"/>
      <c r="C165" s="39"/>
      <c r="D165" s="39"/>
      <c r="E165" t="str" s="30" cm="1">
        <f t="array" ref="E165">IF($D165="","",_xlfn.IFERROR(IF($I165=-1,IF($D165&lt;0.5,$D165*86400,IF($D165&lt;100,$D165*1440,$D165)),IF($I165=2,VALUE(LEFT($D165,$J165-1))*3600+VALUE(MID($D165,$J165+1,$K165-$J165-1))*60,IF($I165=1,VALUE(LEFT($D165,$J165-1))*60,0))+IF($M165=0,VALUE($L165),VALUE(LEFT($L165,$M165-1))+VALUE(MID($L165,$M165+1,10))/10^(LEN($L165)-$M165))),""))</f>
      </c>
      <c r="F165" t="str" s="30" cm="1">
        <f t="array" ref="F165">IF($E165="","",MAX(0,$I$7-$E165))</f>
      </c>
      <c r="G165" t="str" s="30" cm="1">
        <f t="array" ref="G165">IF($E165="","",$F165*$D$7)</f>
      </c>
      <c r="H165" t="str" s="30" cm="1">
        <f t="array" ref="H165">IF($E165="","",$T165+IF(AND($V$6&gt;=$D$8,COUNT($E$11:$E165)=$V$7+1),$D$8,0))</f>
      </c>
      <c r="I165" t="str" s="30" cm="1">
        <f t="array" ref="I165">IF($D165="","",IF(ISTEXT($D165),LEN($D165)-LEN(SUBSTITUTE($D165,":","")),-1))</f>
      </c>
      <c r="J165" s="29" cm="1">
        <f t="array" ref="J165">_xlfn.IFERROR(FIND(":",$D165),0)</f>
        <v>0</v>
      </c>
      <c r="K165" s="29" cm="1">
        <f t="array" ref="K165">_xlfn.IFERROR(FIND(":",$D165,$J165+1),0)</f>
        <v>0</v>
      </c>
      <c r="L165" t="str" s="30" cm="1">
        <f t="array" ref="L165">IF($D165="","",IF($I165=2,MID($D165,$K165+1,10),IF($I165=1,MID($D165,$J165+1,10),IF($I165=0,$D165,""))))</f>
      </c>
      <c r="M165" s="29" cm="1">
        <f t="array" ref="M165">IF($L165="",0,_xlfn.IFERROR(FIND(".",SUBSTITUTE($L165,",",".")),0))</f>
        <v>0</v>
      </c>
      <c r="N165" s="29" cm="1">
        <f t="array" ref="N165">IF($E165="",10^9,$E165)</f>
        <v>1000000000</v>
      </c>
      <c r="O165" t="str" s="30" cm="1">
        <f t="array" ref="O165">IF($E165="","",SUM($E$11:$E165))</f>
      </c>
      <c r="P165" t="str" s="30" cm="1">
        <f t="array" ref="P165">IF($E165="","",($D$6/$D$7+$O165)/COUNT($E$11:$E165))</f>
      </c>
      <c r="Q165" s="29" cm="1">
        <f t="array" ref="Q165">IF($E165="",0,IF(AND($E165&lt;$P165,OR($E166="",$P165&lt;=$E166)),1,0))</f>
        <v>0</v>
      </c>
      <c r="R165" s="27" cm="1">
        <f t="array" ref="R165">IF($V$4=0,"",ROUND($V$4,1)-10+(165-11)*0.1)</f>
        <v>3160.6</v>
      </c>
      <c r="S165" s="28">
        <v>5000</v>
      </c>
      <c r="T165" t="str" s="30" cm="1">
        <f t="array" ref="T165">IF($E165="","",ROUND($G165/$D$8,0)*$D$8)</f>
      </c>
      <c r="U165" s="14"/>
      <c r="V165" s="8"/>
    </row>
    <row r="166" ht="13.55" customHeight="1">
      <c r="A166" t="str" s="30" cm="1">
        <f t="array" ref="A166">IF($E166="","",COUNT($E$11:$E166))</f>
      </c>
      <c r="B166" s="39"/>
      <c r="C166" s="39"/>
      <c r="D166" s="39"/>
      <c r="E166" t="str" s="30" cm="1">
        <f t="array" ref="E166">IF($D166="","",_xlfn.IFERROR(IF($I166=-1,IF($D166&lt;0.5,$D166*86400,IF($D166&lt;100,$D166*1440,$D166)),IF($I166=2,VALUE(LEFT($D166,$J166-1))*3600+VALUE(MID($D166,$J166+1,$K166-$J166-1))*60,IF($I166=1,VALUE(LEFT($D166,$J166-1))*60,0))+IF($M166=0,VALUE($L166),VALUE(LEFT($L166,$M166-1))+VALUE(MID($L166,$M166+1,10))/10^(LEN($L166)-$M166))),""))</f>
      </c>
      <c r="F166" t="str" s="30" cm="1">
        <f t="array" ref="F166">IF($E166="","",MAX(0,$I$7-$E166))</f>
      </c>
      <c r="G166" t="str" s="30" cm="1">
        <f t="array" ref="G166">IF($E166="","",$F166*$D$7)</f>
      </c>
      <c r="H166" t="str" s="30" cm="1">
        <f t="array" ref="H166">IF($E166="","",$T166+IF(AND($V$6&gt;=$D$8,COUNT($E$11:$E166)=$V$7+1),$D$8,0))</f>
      </c>
      <c r="I166" t="str" s="30" cm="1">
        <f t="array" ref="I166">IF($D166="","",IF(ISTEXT($D166),LEN($D166)-LEN(SUBSTITUTE($D166,":","")),-1))</f>
      </c>
      <c r="J166" s="29" cm="1">
        <f t="array" ref="J166">_xlfn.IFERROR(FIND(":",$D166),0)</f>
        <v>0</v>
      </c>
      <c r="K166" s="29" cm="1">
        <f t="array" ref="K166">_xlfn.IFERROR(FIND(":",$D166,$J166+1),0)</f>
        <v>0</v>
      </c>
      <c r="L166" t="str" s="30" cm="1">
        <f t="array" ref="L166">IF($D166="","",IF($I166=2,MID($D166,$K166+1,10),IF($I166=1,MID($D166,$J166+1,10),IF($I166=0,$D166,""))))</f>
      </c>
      <c r="M166" s="29" cm="1">
        <f t="array" ref="M166">IF($L166="",0,_xlfn.IFERROR(FIND(".",SUBSTITUTE($L166,",",".")),0))</f>
        <v>0</v>
      </c>
      <c r="N166" s="29" cm="1">
        <f t="array" ref="N166">IF($E166="",10^9,$E166)</f>
        <v>1000000000</v>
      </c>
      <c r="O166" t="str" s="30" cm="1">
        <f t="array" ref="O166">IF($E166="","",SUM($E$11:$E166))</f>
      </c>
      <c r="P166" t="str" s="30" cm="1">
        <f t="array" ref="P166">IF($E166="","",($D$6/$D$7+$O166)/COUNT($E$11:$E166))</f>
      </c>
      <c r="Q166" s="29" cm="1">
        <f t="array" ref="Q166">IF($E166="",0,IF(AND($E166&lt;$P166,OR($E167="",$P166&lt;=$E167)),1,0))</f>
        <v>0</v>
      </c>
      <c r="R166" s="27" cm="1">
        <f t="array" ref="R166">IF($V$4=0,"",ROUND($V$4,1)-10+(166-11)*0.1)</f>
        <v>3160.7</v>
      </c>
      <c r="S166" s="28">
        <v>5000</v>
      </c>
      <c r="T166" t="str" s="30" cm="1">
        <f t="array" ref="T166">IF($E166="","",ROUND($G166/$D$8,0)*$D$8)</f>
      </c>
      <c r="U166" s="14"/>
      <c r="V166" s="8"/>
    </row>
    <row r="167" ht="13.55" customHeight="1">
      <c r="A167" t="str" s="30" cm="1">
        <f t="array" ref="A167">IF($E167="","",COUNT($E$11:$E167))</f>
      </c>
      <c r="B167" s="39"/>
      <c r="C167" s="39"/>
      <c r="D167" s="39"/>
      <c r="E167" t="str" s="30" cm="1">
        <f t="array" ref="E167">IF($D167="","",_xlfn.IFERROR(IF($I167=-1,IF($D167&lt;0.5,$D167*86400,IF($D167&lt;100,$D167*1440,$D167)),IF($I167=2,VALUE(LEFT($D167,$J167-1))*3600+VALUE(MID($D167,$J167+1,$K167-$J167-1))*60,IF($I167=1,VALUE(LEFT($D167,$J167-1))*60,0))+IF($M167=0,VALUE($L167),VALUE(LEFT($L167,$M167-1))+VALUE(MID($L167,$M167+1,10))/10^(LEN($L167)-$M167))),""))</f>
      </c>
      <c r="F167" t="str" s="30" cm="1">
        <f t="array" ref="F167">IF($E167="","",MAX(0,$I$7-$E167))</f>
      </c>
      <c r="G167" t="str" s="30" cm="1">
        <f t="array" ref="G167">IF($E167="","",$F167*$D$7)</f>
      </c>
      <c r="H167" t="str" s="30" cm="1">
        <f t="array" ref="H167">IF($E167="","",$T167+IF(AND($V$6&gt;=$D$8,COUNT($E$11:$E167)=$V$7+1),$D$8,0))</f>
      </c>
      <c r="I167" t="str" s="30" cm="1">
        <f t="array" ref="I167">IF($D167="","",IF(ISTEXT($D167),LEN($D167)-LEN(SUBSTITUTE($D167,":","")),-1))</f>
      </c>
      <c r="J167" s="29" cm="1">
        <f t="array" ref="J167">_xlfn.IFERROR(FIND(":",$D167),0)</f>
        <v>0</v>
      </c>
      <c r="K167" s="29" cm="1">
        <f t="array" ref="K167">_xlfn.IFERROR(FIND(":",$D167,$J167+1),0)</f>
        <v>0</v>
      </c>
      <c r="L167" t="str" s="30" cm="1">
        <f t="array" ref="L167">IF($D167="","",IF($I167=2,MID($D167,$K167+1,10),IF($I167=1,MID($D167,$J167+1,10),IF($I167=0,$D167,""))))</f>
      </c>
      <c r="M167" s="29" cm="1">
        <f t="array" ref="M167">IF($L167="",0,_xlfn.IFERROR(FIND(".",SUBSTITUTE($L167,",",".")),0))</f>
        <v>0</v>
      </c>
      <c r="N167" s="29" cm="1">
        <f t="array" ref="N167">IF($E167="",10^9,$E167)</f>
        <v>1000000000</v>
      </c>
      <c r="O167" t="str" s="30" cm="1">
        <f t="array" ref="O167">IF($E167="","",SUM($E$11:$E167))</f>
      </c>
      <c r="P167" t="str" s="30" cm="1">
        <f t="array" ref="P167">IF($E167="","",($D$6/$D$7+$O167)/COUNT($E$11:$E167))</f>
      </c>
      <c r="Q167" s="29" cm="1">
        <f t="array" ref="Q167">IF($E167="",0,IF(AND($E167&lt;$P167,OR($E168="",$P167&lt;=$E168)),1,0))</f>
        <v>0</v>
      </c>
      <c r="R167" s="27" cm="1">
        <f t="array" ref="R167">IF($V$4=0,"",ROUND($V$4,1)-10+(167-11)*0.1)</f>
        <v>3160.8</v>
      </c>
      <c r="S167" s="28">
        <v>5000</v>
      </c>
      <c r="T167" t="str" s="30" cm="1">
        <f t="array" ref="T167">IF($E167="","",ROUND($G167/$D$8,0)*$D$8)</f>
      </c>
      <c r="U167" s="14"/>
      <c r="V167" s="8"/>
    </row>
    <row r="168" ht="13.55" customHeight="1">
      <c r="A168" t="str" s="30" cm="1">
        <f t="array" ref="A168">IF($E168="","",COUNT($E$11:$E168))</f>
      </c>
      <c r="B168" s="39"/>
      <c r="C168" s="39"/>
      <c r="D168" s="39"/>
      <c r="E168" t="str" s="30" cm="1">
        <f t="array" ref="E168">IF($D168="","",_xlfn.IFERROR(IF($I168=-1,IF($D168&lt;0.5,$D168*86400,IF($D168&lt;100,$D168*1440,$D168)),IF($I168=2,VALUE(LEFT($D168,$J168-1))*3600+VALUE(MID($D168,$J168+1,$K168-$J168-1))*60,IF($I168=1,VALUE(LEFT($D168,$J168-1))*60,0))+IF($M168=0,VALUE($L168),VALUE(LEFT($L168,$M168-1))+VALUE(MID($L168,$M168+1,10))/10^(LEN($L168)-$M168))),""))</f>
      </c>
      <c r="F168" t="str" s="30" cm="1">
        <f t="array" ref="F168">IF($E168="","",MAX(0,$I$7-$E168))</f>
      </c>
      <c r="G168" t="str" s="30" cm="1">
        <f t="array" ref="G168">IF($E168="","",$F168*$D$7)</f>
      </c>
      <c r="H168" t="str" s="30" cm="1">
        <f t="array" ref="H168">IF($E168="","",$T168+IF(AND($V$6&gt;=$D$8,COUNT($E$11:$E168)=$V$7+1),$D$8,0))</f>
      </c>
      <c r="I168" t="str" s="30" cm="1">
        <f t="array" ref="I168">IF($D168="","",IF(ISTEXT($D168),LEN($D168)-LEN(SUBSTITUTE($D168,":","")),-1))</f>
      </c>
      <c r="J168" s="29" cm="1">
        <f t="array" ref="J168">_xlfn.IFERROR(FIND(":",$D168),0)</f>
        <v>0</v>
      </c>
      <c r="K168" s="29" cm="1">
        <f t="array" ref="K168">_xlfn.IFERROR(FIND(":",$D168,$J168+1),0)</f>
        <v>0</v>
      </c>
      <c r="L168" t="str" s="30" cm="1">
        <f t="array" ref="L168">IF($D168="","",IF($I168=2,MID($D168,$K168+1,10),IF($I168=1,MID($D168,$J168+1,10),IF($I168=0,$D168,""))))</f>
      </c>
      <c r="M168" s="29" cm="1">
        <f t="array" ref="M168">IF($L168="",0,_xlfn.IFERROR(FIND(".",SUBSTITUTE($L168,",",".")),0))</f>
        <v>0</v>
      </c>
      <c r="N168" s="29" cm="1">
        <f t="array" ref="N168">IF($E168="",10^9,$E168)</f>
        <v>1000000000</v>
      </c>
      <c r="O168" t="str" s="30" cm="1">
        <f t="array" ref="O168">IF($E168="","",SUM($E$11:$E168))</f>
      </c>
      <c r="P168" t="str" s="30" cm="1">
        <f t="array" ref="P168">IF($E168="","",($D$6/$D$7+$O168)/COUNT($E$11:$E168))</f>
      </c>
      <c r="Q168" s="29" cm="1">
        <f t="array" ref="Q168">IF($E168="",0,IF(AND($E168&lt;$P168,OR($E169="",$P168&lt;=$E169)),1,0))</f>
        <v>0</v>
      </c>
      <c r="R168" s="27" cm="1">
        <f t="array" ref="R168">IF($V$4=0,"",ROUND($V$4,1)-10+(168-11)*0.1)</f>
        <v>3160.9</v>
      </c>
      <c r="S168" s="28">
        <v>5000</v>
      </c>
      <c r="T168" t="str" s="30" cm="1">
        <f t="array" ref="T168">IF($E168="","",ROUND($G168/$D$8,0)*$D$8)</f>
      </c>
      <c r="U168" s="14"/>
      <c r="V168" s="8"/>
    </row>
    <row r="169" ht="13.55" customHeight="1">
      <c r="A169" t="str" s="30" cm="1">
        <f t="array" ref="A169">IF($E169="","",COUNT($E$11:$E169))</f>
      </c>
      <c r="B169" s="39"/>
      <c r="C169" s="39"/>
      <c r="D169" s="39"/>
      <c r="E169" t="str" s="30" cm="1">
        <f t="array" ref="E169">IF($D169="","",_xlfn.IFERROR(IF($I169=-1,IF($D169&lt;0.5,$D169*86400,IF($D169&lt;100,$D169*1440,$D169)),IF($I169=2,VALUE(LEFT($D169,$J169-1))*3600+VALUE(MID($D169,$J169+1,$K169-$J169-1))*60,IF($I169=1,VALUE(LEFT($D169,$J169-1))*60,0))+IF($M169=0,VALUE($L169),VALUE(LEFT($L169,$M169-1))+VALUE(MID($L169,$M169+1,10))/10^(LEN($L169)-$M169))),""))</f>
      </c>
      <c r="F169" t="str" s="30" cm="1">
        <f t="array" ref="F169">IF($E169="","",MAX(0,$I$7-$E169))</f>
      </c>
      <c r="G169" t="str" s="30" cm="1">
        <f t="array" ref="G169">IF($E169="","",$F169*$D$7)</f>
      </c>
      <c r="H169" t="str" s="30" cm="1">
        <f t="array" ref="H169">IF($E169="","",$T169+IF(AND($V$6&gt;=$D$8,COUNT($E$11:$E169)=$V$7+1),$D$8,0))</f>
      </c>
      <c r="I169" t="str" s="30" cm="1">
        <f t="array" ref="I169">IF($D169="","",IF(ISTEXT($D169),LEN($D169)-LEN(SUBSTITUTE($D169,":","")),-1))</f>
      </c>
      <c r="J169" s="29" cm="1">
        <f t="array" ref="J169">_xlfn.IFERROR(FIND(":",$D169),0)</f>
        <v>0</v>
      </c>
      <c r="K169" s="29" cm="1">
        <f t="array" ref="K169">_xlfn.IFERROR(FIND(":",$D169,$J169+1),0)</f>
        <v>0</v>
      </c>
      <c r="L169" t="str" s="30" cm="1">
        <f t="array" ref="L169">IF($D169="","",IF($I169=2,MID($D169,$K169+1,10),IF($I169=1,MID($D169,$J169+1,10),IF($I169=0,$D169,""))))</f>
      </c>
      <c r="M169" s="29" cm="1">
        <f t="array" ref="M169">IF($L169="",0,_xlfn.IFERROR(FIND(".",SUBSTITUTE($L169,",",".")),0))</f>
        <v>0</v>
      </c>
      <c r="N169" s="29" cm="1">
        <f t="array" ref="N169">IF($E169="",10^9,$E169)</f>
        <v>1000000000</v>
      </c>
      <c r="O169" t="str" s="30" cm="1">
        <f t="array" ref="O169">IF($E169="","",SUM($E$11:$E169))</f>
      </c>
      <c r="P169" t="str" s="30" cm="1">
        <f t="array" ref="P169">IF($E169="","",($D$6/$D$7+$O169)/COUNT($E$11:$E169))</f>
      </c>
      <c r="Q169" s="29" cm="1">
        <f t="array" ref="Q169">IF($E169="",0,IF(AND($E169&lt;$P169,OR($E170="",$P169&lt;=$E170)),1,0))</f>
        <v>0</v>
      </c>
      <c r="R169" s="27" cm="1">
        <f t="array" ref="R169">IF($V$4=0,"",ROUND($V$4,1)-10+(169-11)*0.1)</f>
        <v>3161</v>
      </c>
      <c r="S169" s="28">
        <v>5000</v>
      </c>
      <c r="T169" t="str" s="30" cm="1">
        <f t="array" ref="T169">IF($E169="","",ROUND($G169/$D$8,0)*$D$8)</f>
      </c>
      <c r="U169" s="14"/>
      <c r="V169" s="8"/>
    </row>
    <row r="170" ht="13.55" customHeight="1">
      <c r="A170" t="str" s="30" cm="1">
        <f t="array" ref="A170">IF($E170="","",COUNT($E$11:$E170))</f>
      </c>
      <c r="B170" s="39"/>
      <c r="C170" s="39"/>
      <c r="D170" s="39"/>
      <c r="E170" t="str" s="30" cm="1">
        <f t="array" ref="E170">IF($D170="","",_xlfn.IFERROR(IF($I170=-1,IF($D170&lt;0.5,$D170*86400,IF($D170&lt;100,$D170*1440,$D170)),IF($I170=2,VALUE(LEFT($D170,$J170-1))*3600+VALUE(MID($D170,$J170+1,$K170-$J170-1))*60,IF($I170=1,VALUE(LEFT($D170,$J170-1))*60,0))+IF($M170=0,VALUE($L170),VALUE(LEFT($L170,$M170-1))+VALUE(MID($L170,$M170+1,10))/10^(LEN($L170)-$M170))),""))</f>
      </c>
      <c r="F170" t="str" s="30" cm="1">
        <f t="array" ref="F170">IF($E170="","",MAX(0,$I$7-$E170))</f>
      </c>
      <c r="G170" t="str" s="30" cm="1">
        <f t="array" ref="G170">IF($E170="","",$F170*$D$7)</f>
      </c>
      <c r="H170" t="str" s="30" cm="1">
        <f t="array" ref="H170">IF($E170="","",$T170+IF(AND($V$6&gt;=$D$8,COUNT($E$11:$E170)=$V$7+1),$D$8,0))</f>
      </c>
      <c r="I170" t="str" s="30" cm="1">
        <f t="array" ref="I170">IF($D170="","",IF(ISTEXT($D170),LEN($D170)-LEN(SUBSTITUTE($D170,":","")),-1))</f>
      </c>
      <c r="J170" s="29" cm="1">
        <f t="array" ref="J170">_xlfn.IFERROR(FIND(":",$D170),0)</f>
        <v>0</v>
      </c>
      <c r="K170" s="29" cm="1">
        <f t="array" ref="K170">_xlfn.IFERROR(FIND(":",$D170,$J170+1),0)</f>
        <v>0</v>
      </c>
      <c r="L170" t="str" s="30" cm="1">
        <f t="array" ref="L170">IF($D170="","",IF($I170=2,MID($D170,$K170+1,10),IF($I170=1,MID($D170,$J170+1,10),IF($I170=0,$D170,""))))</f>
      </c>
      <c r="M170" s="29" cm="1">
        <f t="array" ref="M170">IF($L170="",0,_xlfn.IFERROR(FIND(".",SUBSTITUTE($L170,",",".")),0))</f>
        <v>0</v>
      </c>
      <c r="N170" s="29" cm="1">
        <f t="array" ref="N170">IF($E170="",10^9,$E170)</f>
        <v>1000000000</v>
      </c>
      <c r="O170" t="str" s="30" cm="1">
        <f t="array" ref="O170">IF($E170="","",SUM($E$11:$E170))</f>
      </c>
      <c r="P170" t="str" s="30" cm="1">
        <f t="array" ref="P170">IF($E170="","",($D$6/$D$7+$O170)/COUNT($E$11:$E170))</f>
      </c>
      <c r="Q170" s="29" cm="1">
        <f t="array" ref="Q170">IF($E170="",0,IF(AND($E170&lt;$P170,OR($E171="",$P170&lt;=$E171)),1,0))</f>
        <v>0</v>
      </c>
      <c r="R170" s="27" cm="1">
        <f t="array" ref="R170">IF($V$4=0,"",ROUND($V$4,1)-10+(170-11)*0.1)</f>
        <v>3161.1</v>
      </c>
      <c r="S170" s="28">
        <v>5000</v>
      </c>
      <c r="T170" t="str" s="30" cm="1">
        <f t="array" ref="T170">IF($E170="","",ROUND($G170/$D$8,0)*$D$8)</f>
      </c>
      <c r="U170" s="14"/>
      <c r="V170" s="8"/>
    </row>
    <row r="171" ht="13.55" customHeight="1">
      <c r="A171" t="str" s="30" cm="1">
        <f t="array" ref="A171">IF($E171="","",COUNT($E$11:$E171))</f>
      </c>
      <c r="B171" s="39"/>
      <c r="C171" s="39"/>
      <c r="D171" s="39"/>
      <c r="E171" t="str" s="30" cm="1">
        <f t="array" ref="E171">IF($D171="","",_xlfn.IFERROR(IF($I171=-1,IF($D171&lt;0.5,$D171*86400,IF($D171&lt;100,$D171*1440,$D171)),IF($I171=2,VALUE(LEFT($D171,$J171-1))*3600+VALUE(MID($D171,$J171+1,$K171-$J171-1))*60,IF($I171=1,VALUE(LEFT($D171,$J171-1))*60,0))+IF($M171=0,VALUE($L171),VALUE(LEFT($L171,$M171-1))+VALUE(MID($L171,$M171+1,10))/10^(LEN($L171)-$M171))),""))</f>
      </c>
      <c r="F171" t="str" s="30" cm="1">
        <f t="array" ref="F171">IF($E171="","",MAX(0,$I$7-$E171))</f>
      </c>
      <c r="G171" t="str" s="30" cm="1">
        <f t="array" ref="G171">IF($E171="","",$F171*$D$7)</f>
      </c>
      <c r="H171" t="str" s="30" cm="1">
        <f t="array" ref="H171">IF($E171="","",$T171+IF(AND($V$6&gt;=$D$8,COUNT($E$11:$E171)=$V$7+1),$D$8,0))</f>
      </c>
      <c r="I171" t="str" s="30" cm="1">
        <f t="array" ref="I171">IF($D171="","",IF(ISTEXT($D171),LEN($D171)-LEN(SUBSTITUTE($D171,":","")),-1))</f>
      </c>
      <c r="J171" s="29" cm="1">
        <f t="array" ref="J171">_xlfn.IFERROR(FIND(":",$D171),0)</f>
        <v>0</v>
      </c>
      <c r="K171" s="29" cm="1">
        <f t="array" ref="K171">_xlfn.IFERROR(FIND(":",$D171,$J171+1),0)</f>
        <v>0</v>
      </c>
      <c r="L171" t="str" s="30" cm="1">
        <f t="array" ref="L171">IF($D171="","",IF($I171=2,MID($D171,$K171+1,10),IF($I171=1,MID($D171,$J171+1,10),IF($I171=0,$D171,""))))</f>
      </c>
      <c r="M171" s="29" cm="1">
        <f t="array" ref="M171">IF($L171="",0,_xlfn.IFERROR(FIND(".",SUBSTITUTE($L171,",",".")),0))</f>
        <v>0</v>
      </c>
      <c r="N171" s="29" cm="1">
        <f t="array" ref="N171">IF($E171="",10^9,$E171)</f>
        <v>1000000000</v>
      </c>
      <c r="O171" t="str" s="30" cm="1">
        <f t="array" ref="O171">IF($E171="","",SUM($E$11:$E171))</f>
      </c>
      <c r="P171" t="str" s="30" cm="1">
        <f t="array" ref="P171">IF($E171="","",($D$6/$D$7+$O171)/COUNT($E$11:$E171))</f>
      </c>
      <c r="Q171" s="29" cm="1">
        <f t="array" ref="Q171">IF($E171="",0,IF(AND($E171&lt;$P171,OR($E172="",$P171&lt;=$E172)),1,0))</f>
        <v>0</v>
      </c>
      <c r="R171" s="27" cm="1">
        <f t="array" ref="R171">IF($V$4=0,"",ROUND($V$4,1)-10+(171-11)*0.1)</f>
        <v>3161.2</v>
      </c>
      <c r="S171" s="28">
        <v>5000</v>
      </c>
      <c r="T171" t="str" s="30" cm="1">
        <f t="array" ref="T171">IF($E171="","",ROUND($G171/$D$8,0)*$D$8)</f>
      </c>
      <c r="U171" s="14"/>
      <c r="V171" s="8"/>
    </row>
    <row r="172" ht="13.55" customHeight="1">
      <c r="A172" t="str" s="30" cm="1">
        <f t="array" ref="A172">IF($E172="","",COUNT($E$11:$E172))</f>
      </c>
      <c r="B172" s="39"/>
      <c r="C172" s="39"/>
      <c r="D172" s="39"/>
      <c r="E172" t="str" s="30" cm="1">
        <f t="array" ref="E172">IF($D172="","",_xlfn.IFERROR(IF($I172=-1,IF($D172&lt;0.5,$D172*86400,IF($D172&lt;100,$D172*1440,$D172)),IF($I172=2,VALUE(LEFT($D172,$J172-1))*3600+VALUE(MID($D172,$J172+1,$K172-$J172-1))*60,IF($I172=1,VALUE(LEFT($D172,$J172-1))*60,0))+IF($M172=0,VALUE($L172),VALUE(LEFT($L172,$M172-1))+VALUE(MID($L172,$M172+1,10))/10^(LEN($L172)-$M172))),""))</f>
      </c>
      <c r="F172" t="str" s="30" cm="1">
        <f t="array" ref="F172">IF($E172="","",MAX(0,$I$7-$E172))</f>
      </c>
      <c r="G172" t="str" s="30" cm="1">
        <f t="array" ref="G172">IF($E172="","",$F172*$D$7)</f>
      </c>
      <c r="H172" t="str" s="30" cm="1">
        <f t="array" ref="H172">IF($E172="","",$T172+IF(AND($V$6&gt;=$D$8,COUNT($E$11:$E172)=$V$7+1),$D$8,0))</f>
      </c>
      <c r="I172" t="str" s="30" cm="1">
        <f t="array" ref="I172">IF($D172="","",IF(ISTEXT($D172),LEN($D172)-LEN(SUBSTITUTE($D172,":","")),-1))</f>
      </c>
      <c r="J172" s="29" cm="1">
        <f t="array" ref="J172">_xlfn.IFERROR(FIND(":",$D172),0)</f>
        <v>0</v>
      </c>
      <c r="K172" s="29" cm="1">
        <f t="array" ref="K172">_xlfn.IFERROR(FIND(":",$D172,$J172+1),0)</f>
        <v>0</v>
      </c>
      <c r="L172" t="str" s="30" cm="1">
        <f t="array" ref="L172">IF($D172="","",IF($I172=2,MID($D172,$K172+1,10),IF($I172=1,MID($D172,$J172+1,10),IF($I172=0,$D172,""))))</f>
      </c>
      <c r="M172" s="29" cm="1">
        <f t="array" ref="M172">IF($L172="",0,_xlfn.IFERROR(FIND(".",SUBSTITUTE($L172,",",".")),0))</f>
        <v>0</v>
      </c>
      <c r="N172" s="29" cm="1">
        <f t="array" ref="N172">IF($E172="",10^9,$E172)</f>
        <v>1000000000</v>
      </c>
      <c r="O172" t="str" s="30" cm="1">
        <f t="array" ref="O172">IF($E172="","",SUM($E$11:$E172))</f>
      </c>
      <c r="P172" t="str" s="30" cm="1">
        <f t="array" ref="P172">IF($E172="","",($D$6/$D$7+$O172)/COUNT($E$11:$E172))</f>
      </c>
      <c r="Q172" s="29" cm="1">
        <f t="array" ref="Q172">IF($E172="",0,IF(AND($E172&lt;$P172,OR($E173="",$P172&lt;=$E173)),1,0))</f>
        <v>0</v>
      </c>
      <c r="R172" s="27" cm="1">
        <f t="array" ref="R172">IF($V$4=0,"",ROUND($V$4,1)-10+(172-11)*0.1)</f>
        <v>3161.3</v>
      </c>
      <c r="S172" s="28">
        <v>5000</v>
      </c>
      <c r="T172" t="str" s="30" cm="1">
        <f t="array" ref="T172">IF($E172="","",ROUND($G172/$D$8,0)*$D$8)</f>
      </c>
      <c r="U172" s="14"/>
      <c r="V172" s="8"/>
    </row>
    <row r="173" ht="13.55" customHeight="1">
      <c r="A173" t="str" s="30" cm="1">
        <f t="array" ref="A173">IF($E173="","",COUNT($E$11:$E173))</f>
      </c>
      <c r="B173" s="39"/>
      <c r="C173" s="39"/>
      <c r="D173" s="39"/>
      <c r="E173" t="str" s="30" cm="1">
        <f t="array" ref="E173">IF($D173="","",_xlfn.IFERROR(IF($I173=-1,IF($D173&lt;0.5,$D173*86400,IF($D173&lt;100,$D173*1440,$D173)),IF($I173=2,VALUE(LEFT($D173,$J173-1))*3600+VALUE(MID($D173,$J173+1,$K173-$J173-1))*60,IF($I173=1,VALUE(LEFT($D173,$J173-1))*60,0))+IF($M173=0,VALUE($L173),VALUE(LEFT($L173,$M173-1))+VALUE(MID($L173,$M173+1,10))/10^(LEN($L173)-$M173))),""))</f>
      </c>
      <c r="F173" t="str" s="30" cm="1">
        <f t="array" ref="F173">IF($E173="","",MAX(0,$I$7-$E173))</f>
      </c>
      <c r="G173" t="str" s="30" cm="1">
        <f t="array" ref="G173">IF($E173="","",$F173*$D$7)</f>
      </c>
      <c r="H173" t="str" s="30" cm="1">
        <f t="array" ref="H173">IF($E173="","",$T173+IF(AND($V$6&gt;=$D$8,COUNT($E$11:$E173)=$V$7+1),$D$8,0))</f>
      </c>
      <c r="I173" t="str" s="30" cm="1">
        <f t="array" ref="I173">IF($D173="","",IF(ISTEXT($D173),LEN($D173)-LEN(SUBSTITUTE($D173,":","")),-1))</f>
      </c>
      <c r="J173" s="29" cm="1">
        <f t="array" ref="J173">_xlfn.IFERROR(FIND(":",$D173),0)</f>
        <v>0</v>
      </c>
      <c r="K173" s="29" cm="1">
        <f t="array" ref="K173">_xlfn.IFERROR(FIND(":",$D173,$J173+1),0)</f>
        <v>0</v>
      </c>
      <c r="L173" t="str" s="30" cm="1">
        <f t="array" ref="L173">IF($D173="","",IF($I173=2,MID($D173,$K173+1,10),IF($I173=1,MID($D173,$J173+1,10),IF($I173=0,$D173,""))))</f>
      </c>
      <c r="M173" s="29" cm="1">
        <f t="array" ref="M173">IF($L173="",0,_xlfn.IFERROR(FIND(".",SUBSTITUTE($L173,",",".")),0))</f>
        <v>0</v>
      </c>
      <c r="N173" s="29" cm="1">
        <f t="array" ref="N173">IF($E173="",10^9,$E173)</f>
        <v>1000000000</v>
      </c>
      <c r="O173" t="str" s="30" cm="1">
        <f t="array" ref="O173">IF($E173="","",SUM($E$11:$E173))</f>
      </c>
      <c r="P173" t="str" s="30" cm="1">
        <f t="array" ref="P173">IF($E173="","",($D$6/$D$7+$O173)/COUNT($E$11:$E173))</f>
      </c>
      <c r="Q173" s="29" cm="1">
        <f t="array" ref="Q173">IF($E173="",0,IF(AND($E173&lt;$P173,OR($E174="",$P173&lt;=$E174)),1,0))</f>
        <v>0</v>
      </c>
      <c r="R173" s="27" cm="1">
        <f t="array" ref="R173">IF($V$4=0,"",ROUND($V$4,1)-10+(173-11)*0.1)</f>
        <v>3161.4</v>
      </c>
      <c r="S173" s="28">
        <v>5000</v>
      </c>
      <c r="T173" t="str" s="30" cm="1">
        <f t="array" ref="T173">IF($E173="","",ROUND($G173/$D$8,0)*$D$8)</f>
      </c>
      <c r="U173" s="14"/>
      <c r="V173" s="8"/>
    </row>
    <row r="174" ht="13.55" customHeight="1">
      <c r="A174" t="str" s="30" cm="1">
        <f t="array" ref="A174">IF($E174="","",COUNT($E$11:$E174))</f>
      </c>
      <c r="B174" s="39"/>
      <c r="C174" s="39"/>
      <c r="D174" s="39"/>
      <c r="E174" t="str" s="30" cm="1">
        <f t="array" ref="E174">IF($D174="","",_xlfn.IFERROR(IF($I174=-1,IF($D174&lt;0.5,$D174*86400,IF($D174&lt;100,$D174*1440,$D174)),IF($I174=2,VALUE(LEFT($D174,$J174-1))*3600+VALUE(MID($D174,$J174+1,$K174-$J174-1))*60,IF($I174=1,VALUE(LEFT($D174,$J174-1))*60,0))+IF($M174=0,VALUE($L174),VALUE(LEFT($L174,$M174-1))+VALUE(MID($L174,$M174+1,10))/10^(LEN($L174)-$M174))),""))</f>
      </c>
      <c r="F174" t="str" s="30" cm="1">
        <f t="array" ref="F174">IF($E174="","",MAX(0,$I$7-$E174))</f>
      </c>
      <c r="G174" t="str" s="30" cm="1">
        <f t="array" ref="G174">IF($E174="","",$F174*$D$7)</f>
      </c>
      <c r="H174" t="str" s="30" cm="1">
        <f t="array" ref="H174">IF($E174="","",$T174+IF(AND($V$6&gt;=$D$8,COUNT($E$11:$E174)=$V$7+1),$D$8,0))</f>
      </c>
      <c r="I174" t="str" s="30" cm="1">
        <f t="array" ref="I174">IF($D174="","",IF(ISTEXT($D174),LEN($D174)-LEN(SUBSTITUTE($D174,":","")),-1))</f>
      </c>
      <c r="J174" s="29" cm="1">
        <f t="array" ref="J174">_xlfn.IFERROR(FIND(":",$D174),0)</f>
        <v>0</v>
      </c>
      <c r="K174" s="29" cm="1">
        <f t="array" ref="K174">_xlfn.IFERROR(FIND(":",$D174,$J174+1),0)</f>
        <v>0</v>
      </c>
      <c r="L174" t="str" s="30" cm="1">
        <f t="array" ref="L174">IF($D174="","",IF($I174=2,MID($D174,$K174+1,10),IF($I174=1,MID($D174,$J174+1,10),IF($I174=0,$D174,""))))</f>
      </c>
      <c r="M174" s="29" cm="1">
        <f t="array" ref="M174">IF($L174="",0,_xlfn.IFERROR(FIND(".",SUBSTITUTE($L174,",",".")),0))</f>
        <v>0</v>
      </c>
      <c r="N174" s="29" cm="1">
        <f t="array" ref="N174">IF($E174="",10^9,$E174)</f>
        <v>1000000000</v>
      </c>
      <c r="O174" t="str" s="30" cm="1">
        <f t="array" ref="O174">IF($E174="","",SUM($E$11:$E174))</f>
      </c>
      <c r="P174" t="str" s="30" cm="1">
        <f t="array" ref="P174">IF($E174="","",($D$6/$D$7+$O174)/COUNT($E$11:$E174))</f>
      </c>
      <c r="Q174" s="29" cm="1">
        <f t="array" ref="Q174">IF($E174="",0,IF(AND($E174&lt;$P174,OR($E175="",$P174&lt;=$E175)),1,0))</f>
        <v>0</v>
      </c>
      <c r="R174" s="27" cm="1">
        <f t="array" ref="R174">IF($V$4=0,"",ROUND($V$4,1)-10+(174-11)*0.1)</f>
        <v>3161.5</v>
      </c>
      <c r="S174" s="28">
        <v>5000</v>
      </c>
      <c r="T174" t="str" s="30" cm="1">
        <f t="array" ref="T174">IF($E174="","",ROUND($G174/$D$8,0)*$D$8)</f>
      </c>
      <c r="U174" s="14"/>
      <c r="V174" s="8"/>
    </row>
    <row r="175" ht="13.55" customHeight="1">
      <c r="A175" t="str" s="30" cm="1">
        <f t="array" ref="A175">IF($E175="","",COUNT($E$11:$E175))</f>
      </c>
      <c r="B175" s="39"/>
      <c r="C175" s="39"/>
      <c r="D175" s="39"/>
      <c r="E175" t="str" s="30" cm="1">
        <f t="array" ref="E175">IF($D175="","",_xlfn.IFERROR(IF($I175=-1,IF($D175&lt;0.5,$D175*86400,IF($D175&lt;100,$D175*1440,$D175)),IF($I175=2,VALUE(LEFT($D175,$J175-1))*3600+VALUE(MID($D175,$J175+1,$K175-$J175-1))*60,IF($I175=1,VALUE(LEFT($D175,$J175-1))*60,0))+IF($M175=0,VALUE($L175),VALUE(LEFT($L175,$M175-1))+VALUE(MID($L175,$M175+1,10))/10^(LEN($L175)-$M175))),""))</f>
      </c>
      <c r="F175" t="str" s="30" cm="1">
        <f t="array" ref="F175">IF($E175="","",MAX(0,$I$7-$E175))</f>
      </c>
      <c r="G175" t="str" s="30" cm="1">
        <f t="array" ref="G175">IF($E175="","",$F175*$D$7)</f>
      </c>
      <c r="H175" t="str" s="30" cm="1">
        <f t="array" ref="H175">IF($E175="","",$T175+IF(AND($V$6&gt;=$D$8,COUNT($E$11:$E175)=$V$7+1),$D$8,0))</f>
      </c>
      <c r="I175" t="str" s="30" cm="1">
        <f t="array" ref="I175">IF($D175="","",IF(ISTEXT($D175),LEN($D175)-LEN(SUBSTITUTE($D175,":","")),-1))</f>
      </c>
      <c r="J175" s="29" cm="1">
        <f t="array" ref="J175">_xlfn.IFERROR(FIND(":",$D175),0)</f>
        <v>0</v>
      </c>
      <c r="K175" s="29" cm="1">
        <f t="array" ref="K175">_xlfn.IFERROR(FIND(":",$D175,$J175+1),0)</f>
        <v>0</v>
      </c>
      <c r="L175" t="str" s="30" cm="1">
        <f t="array" ref="L175">IF($D175="","",IF($I175=2,MID($D175,$K175+1,10),IF($I175=1,MID($D175,$J175+1,10),IF($I175=0,$D175,""))))</f>
      </c>
      <c r="M175" s="29" cm="1">
        <f t="array" ref="M175">IF($L175="",0,_xlfn.IFERROR(FIND(".",SUBSTITUTE($L175,",",".")),0))</f>
        <v>0</v>
      </c>
      <c r="N175" s="29" cm="1">
        <f t="array" ref="N175">IF($E175="",10^9,$E175)</f>
        <v>1000000000</v>
      </c>
      <c r="O175" t="str" s="30" cm="1">
        <f t="array" ref="O175">IF($E175="","",SUM($E$11:$E175))</f>
      </c>
      <c r="P175" t="str" s="30" cm="1">
        <f t="array" ref="P175">IF($E175="","",($D$6/$D$7+$O175)/COUNT($E$11:$E175))</f>
      </c>
      <c r="Q175" s="29" cm="1">
        <f t="array" ref="Q175">IF($E175="",0,IF(AND($E175&lt;$P175,OR($E176="",$P175&lt;=$E176)),1,0))</f>
        <v>0</v>
      </c>
      <c r="R175" s="27" cm="1">
        <f t="array" ref="R175">IF($V$4=0,"",ROUND($V$4,1)-10+(175-11)*0.1)</f>
        <v>3161.6</v>
      </c>
      <c r="S175" s="28">
        <v>5000</v>
      </c>
      <c r="T175" t="str" s="30" cm="1">
        <f t="array" ref="T175">IF($E175="","",ROUND($G175/$D$8,0)*$D$8)</f>
      </c>
      <c r="U175" s="14"/>
      <c r="V175" s="8"/>
    </row>
    <row r="176" ht="13.55" customHeight="1">
      <c r="A176" t="str" s="30" cm="1">
        <f t="array" ref="A176">IF($E176="","",COUNT($E$11:$E176))</f>
      </c>
      <c r="B176" s="39"/>
      <c r="C176" s="39"/>
      <c r="D176" s="39"/>
      <c r="E176" t="str" s="30" cm="1">
        <f t="array" ref="E176">IF($D176="","",_xlfn.IFERROR(IF($I176=-1,IF($D176&lt;0.5,$D176*86400,IF($D176&lt;100,$D176*1440,$D176)),IF($I176=2,VALUE(LEFT($D176,$J176-1))*3600+VALUE(MID($D176,$J176+1,$K176-$J176-1))*60,IF($I176=1,VALUE(LEFT($D176,$J176-1))*60,0))+IF($M176=0,VALUE($L176),VALUE(LEFT($L176,$M176-1))+VALUE(MID($L176,$M176+1,10))/10^(LEN($L176)-$M176))),""))</f>
      </c>
      <c r="F176" t="str" s="30" cm="1">
        <f t="array" ref="F176">IF($E176="","",MAX(0,$I$7-$E176))</f>
      </c>
      <c r="G176" t="str" s="30" cm="1">
        <f t="array" ref="G176">IF($E176="","",$F176*$D$7)</f>
      </c>
      <c r="H176" t="str" s="30" cm="1">
        <f t="array" ref="H176">IF($E176="","",$T176+IF(AND($V$6&gt;=$D$8,COUNT($E$11:$E176)=$V$7+1),$D$8,0))</f>
      </c>
      <c r="I176" t="str" s="30" cm="1">
        <f t="array" ref="I176">IF($D176="","",IF(ISTEXT($D176),LEN($D176)-LEN(SUBSTITUTE($D176,":","")),-1))</f>
      </c>
      <c r="J176" s="29" cm="1">
        <f t="array" ref="J176">_xlfn.IFERROR(FIND(":",$D176),0)</f>
        <v>0</v>
      </c>
      <c r="K176" s="29" cm="1">
        <f t="array" ref="K176">_xlfn.IFERROR(FIND(":",$D176,$J176+1),0)</f>
        <v>0</v>
      </c>
      <c r="L176" t="str" s="30" cm="1">
        <f t="array" ref="L176">IF($D176="","",IF($I176=2,MID($D176,$K176+1,10),IF($I176=1,MID($D176,$J176+1,10),IF($I176=0,$D176,""))))</f>
      </c>
      <c r="M176" s="29" cm="1">
        <f t="array" ref="M176">IF($L176="",0,_xlfn.IFERROR(FIND(".",SUBSTITUTE($L176,",",".")),0))</f>
        <v>0</v>
      </c>
      <c r="N176" s="29" cm="1">
        <f t="array" ref="N176">IF($E176="",10^9,$E176)</f>
        <v>1000000000</v>
      </c>
      <c r="O176" t="str" s="30" cm="1">
        <f t="array" ref="O176">IF($E176="","",SUM($E$11:$E176))</f>
      </c>
      <c r="P176" t="str" s="30" cm="1">
        <f t="array" ref="P176">IF($E176="","",($D$6/$D$7+$O176)/COUNT($E$11:$E176))</f>
      </c>
      <c r="Q176" s="29" cm="1">
        <f t="array" ref="Q176">IF($E176="",0,IF(AND($E176&lt;$P176,OR($E177="",$P176&lt;=$E177)),1,0))</f>
        <v>0</v>
      </c>
      <c r="R176" s="27" cm="1">
        <f t="array" ref="R176">IF($V$4=0,"",ROUND($V$4,1)-10+(176-11)*0.1)</f>
        <v>3161.7</v>
      </c>
      <c r="S176" s="28">
        <v>5000</v>
      </c>
      <c r="T176" t="str" s="30" cm="1">
        <f t="array" ref="T176">IF($E176="","",ROUND($G176/$D$8,0)*$D$8)</f>
      </c>
      <c r="U176" s="14"/>
      <c r="V176" s="8"/>
    </row>
    <row r="177" ht="13.55" customHeight="1">
      <c r="A177" t="str" s="30" cm="1">
        <f t="array" ref="A177">IF($E177="","",COUNT($E$11:$E177))</f>
      </c>
      <c r="B177" s="39"/>
      <c r="C177" s="39"/>
      <c r="D177" s="39"/>
      <c r="E177" t="str" s="30" cm="1">
        <f t="array" ref="E177">IF($D177="","",_xlfn.IFERROR(IF($I177=-1,IF($D177&lt;0.5,$D177*86400,IF($D177&lt;100,$D177*1440,$D177)),IF($I177=2,VALUE(LEFT($D177,$J177-1))*3600+VALUE(MID($D177,$J177+1,$K177-$J177-1))*60,IF($I177=1,VALUE(LEFT($D177,$J177-1))*60,0))+IF($M177=0,VALUE($L177),VALUE(LEFT($L177,$M177-1))+VALUE(MID($L177,$M177+1,10))/10^(LEN($L177)-$M177))),""))</f>
      </c>
      <c r="F177" t="str" s="30" cm="1">
        <f t="array" ref="F177">IF($E177="","",MAX(0,$I$7-$E177))</f>
      </c>
      <c r="G177" t="str" s="30" cm="1">
        <f t="array" ref="G177">IF($E177="","",$F177*$D$7)</f>
      </c>
      <c r="H177" t="str" s="30" cm="1">
        <f t="array" ref="H177">IF($E177="","",$T177+IF(AND($V$6&gt;=$D$8,COUNT($E$11:$E177)=$V$7+1),$D$8,0))</f>
      </c>
      <c r="I177" t="str" s="30" cm="1">
        <f t="array" ref="I177">IF($D177="","",IF(ISTEXT($D177),LEN($D177)-LEN(SUBSTITUTE($D177,":","")),-1))</f>
      </c>
      <c r="J177" s="29" cm="1">
        <f t="array" ref="J177">_xlfn.IFERROR(FIND(":",$D177),0)</f>
        <v>0</v>
      </c>
      <c r="K177" s="29" cm="1">
        <f t="array" ref="K177">_xlfn.IFERROR(FIND(":",$D177,$J177+1),0)</f>
        <v>0</v>
      </c>
      <c r="L177" t="str" s="30" cm="1">
        <f t="array" ref="L177">IF($D177="","",IF($I177=2,MID($D177,$K177+1,10),IF($I177=1,MID($D177,$J177+1,10),IF($I177=0,$D177,""))))</f>
      </c>
      <c r="M177" s="29" cm="1">
        <f t="array" ref="M177">IF($L177="",0,_xlfn.IFERROR(FIND(".",SUBSTITUTE($L177,",",".")),0))</f>
        <v>0</v>
      </c>
      <c r="N177" s="29" cm="1">
        <f t="array" ref="N177">IF($E177="",10^9,$E177)</f>
        <v>1000000000</v>
      </c>
      <c r="O177" t="str" s="30" cm="1">
        <f t="array" ref="O177">IF($E177="","",SUM($E$11:$E177))</f>
      </c>
      <c r="P177" t="str" s="30" cm="1">
        <f t="array" ref="P177">IF($E177="","",($D$6/$D$7+$O177)/COUNT($E$11:$E177))</f>
      </c>
      <c r="Q177" s="29" cm="1">
        <f t="array" ref="Q177">IF($E177="",0,IF(AND($E177&lt;$P177,OR($E178="",$P177&lt;=$E178)),1,0))</f>
        <v>0</v>
      </c>
      <c r="R177" s="27" cm="1">
        <f t="array" ref="R177">IF($V$4=0,"",ROUND($V$4,1)-10+(177-11)*0.1)</f>
        <v>3161.8</v>
      </c>
      <c r="S177" s="28">
        <v>5000</v>
      </c>
      <c r="T177" t="str" s="30" cm="1">
        <f t="array" ref="T177">IF($E177="","",ROUND($G177/$D$8,0)*$D$8)</f>
      </c>
      <c r="U177" s="14"/>
      <c r="V177" s="8"/>
    </row>
    <row r="178" ht="13.55" customHeight="1">
      <c r="A178" t="str" s="30" cm="1">
        <f t="array" ref="A178">IF($E178="","",COUNT($E$11:$E178))</f>
      </c>
      <c r="B178" s="39"/>
      <c r="C178" s="39"/>
      <c r="D178" s="39"/>
      <c r="E178" t="str" s="30" cm="1">
        <f t="array" ref="E178">IF($D178="","",_xlfn.IFERROR(IF($I178=-1,IF($D178&lt;0.5,$D178*86400,IF($D178&lt;100,$D178*1440,$D178)),IF($I178=2,VALUE(LEFT($D178,$J178-1))*3600+VALUE(MID($D178,$J178+1,$K178-$J178-1))*60,IF($I178=1,VALUE(LEFT($D178,$J178-1))*60,0))+IF($M178=0,VALUE($L178),VALUE(LEFT($L178,$M178-1))+VALUE(MID($L178,$M178+1,10))/10^(LEN($L178)-$M178))),""))</f>
      </c>
      <c r="F178" t="str" s="30" cm="1">
        <f t="array" ref="F178">IF($E178="","",MAX(0,$I$7-$E178))</f>
      </c>
      <c r="G178" t="str" s="30" cm="1">
        <f t="array" ref="G178">IF($E178="","",$F178*$D$7)</f>
      </c>
      <c r="H178" t="str" s="30" cm="1">
        <f t="array" ref="H178">IF($E178="","",$T178+IF(AND($V$6&gt;=$D$8,COUNT($E$11:$E178)=$V$7+1),$D$8,0))</f>
      </c>
      <c r="I178" t="str" s="30" cm="1">
        <f t="array" ref="I178">IF($D178="","",IF(ISTEXT($D178),LEN($D178)-LEN(SUBSTITUTE($D178,":","")),-1))</f>
      </c>
      <c r="J178" s="29" cm="1">
        <f t="array" ref="J178">_xlfn.IFERROR(FIND(":",$D178),0)</f>
        <v>0</v>
      </c>
      <c r="K178" s="29" cm="1">
        <f t="array" ref="K178">_xlfn.IFERROR(FIND(":",$D178,$J178+1),0)</f>
        <v>0</v>
      </c>
      <c r="L178" t="str" s="30" cm="1">
        <f t="array" ref="L178">IF($D178="","",IF($I178=2,MID($D178,$K178+1,10),IF($I178=1,MID($D178,$J178+1,10),IF($I178=0,$D178,""))))</f>
      </c>
      <c r="M178" s="29" cm="1">
        <f t="array" ref="M178">IF($L178="",0,_xlfn.IFERROR(FIND(".",SUBSTITUTE($L178,",",".")),0))</f>
        <v>0</v>
      </c>
      <c r="N178" s="29" cm="1">
        <f t="array" ref="N178">IF($E178="",10^9,$E178)</f>
        <v>1000000000</v>
      </c>
      <c r="O178" t="str" s="30" cm="1">
        <f t="array" ref="O178">IF($E178="","",SUM($E$11:$E178))</f>
      </c>
      <c r="P178" t="str" s="30" cm="1">
        <f t="array" ref="P178">IF($E178="","",($D$6/$D$7+$O178)/COUNT($E$11:$E178))</f>
      </c>
      <c r="Q178" s="29" cm="1">
        <f t="array" ref="Q178">IF($E178="",0,IF(AND($E178&lt;$P178,OR($E179="",$P178&lt;=$E179)),1,0))</f>
        <v>0</v>
      </c>
      <c r="R178" s="27" cm="1">
        <f t="array" ref="R178">IF($V$4=0,"",ROUND($V$4,1)-10+(178-11)*0.1)</f>
        <v>3161.9</v>
      </c>
      <c r="S178" s="28">
        <v>5000</v>
      </c>
      <c r="T178" t="str" s="30" cm="1">
        <f t="array" ref="T178">IF($E178="","",ROUND($G178/$D$8,0)*$D$8)</f>
      </c>
      <c r="U178" s="14"/>
      <c r="V178" s="8"/>
    </row>
    <row r="179" ht="13.55" customHeight="1">
      <c r="A179" t="str" s="30" cm="1">
        <f t="array" ref="A179">IF($E179="","",COUNT($E$11:$E179))</f>
      </c>
      <c r="B179" s="39"/>
      <c r="C179" s="39"/>
      <c r="D179" s="39"/>
      <c r="E179" t="str" s="30" cm="1">
        <f t="array" ref="E179">IF($D179="","",_xlfn.IFERROR(IF($I179=-1,IF($D179&lt;0.5,$D179*86400,IF($D179&lt;100,$D179*1440,$D179)),IF($I179=2,VALUE(LEFT($D179,$J179-1))*3600+VALUE(MID($D179,$J179+1,$K179-$J179-1))*60,IF($I179=1,VALUE(LEFT($D179,$J179-1))*60,0))+IF($M179=0,VALUE($L179),VALUE(LEFT($L179,$M179-1))+VALUE(MID($L179,$M179+1,10))/10^(LEN($L179)-$M179))),""))</f>
      </c>
      <c r="F179" t="str" s="30" cm="1">
        <f t="array" ref="F179">IF($E179="","",MAX(0,$I$7-$E179))</f>
      </c>
      <c r="G179" t="str" s="30" cm="1">
        <f t="array" ref="G179">IF($E179="","",$F179*$D$7)</f>
      </c>
      <c r="H179" t="str" s="30" cm="1">
        <f t="array" ref="H179">IF($E179="","",$T179+IF(AND($V$6&gt;=$D$8,COUNT($E$11:$E179)=$V$7+1),$D$8,0))</f>
      </c>
      <c r="I179" t="str" s="30" cm="1">
        <f t="array" ref="I179">IF($D179="","",IF(ISTEXT($D179),LEN($D179)-LEN(SUBSTITUTE($D179,":","")),-1))</f>
      </c>
      <c r="J179" s="29" cm="1">
        <f t="array" ref="J179">_xlfn.IFERROR(FIND(":",$D179),0)</f>
        <v>0</v>
      </c>
      <c r="K179" s="29" cm="1">
        <f t="array" ref="K179">_xlfn.IFERROR(FIND(":",$D179,$J179+1),0)</f>
        <v>0</v>
      </c>
      <c r="L179" t="str" s="30" cm="1">
        <f t="array" ref="L179">IF($D179="","",IF($I179=2,MID($D179,$K179+1,10),IF($I179=1,MID($D179,$J179+1,10),IF($I179=0,$D179,""))))</f>
      </c>
      <c r="M179" s="29" cm="1">
        <f t="array" ref="M179">IF($L179="",0,_xlfn.IFERROR(FIND(".",SUBSTITUTE($L179,",",".")),0))</f>
        <v>0</v>
      </c>
      <c r="N179" s="29" cm="1">
        <f t="array" ref="N179">IF($E179="",10^9,$E179)</f>
        <v>1000000000</v>
      </c>
      <c r="O179" t="str" s="30" cm="1">
        <f t="array" ref="O179">IF($E179="","",SUM($E$11:$E179))</f>
      </c>
      <c r="P179" t="str" s="30" cm="1">
        <f t="array" ref="P179">IF($E179="","",($D$6/$D$7+$O179)/COUNT($E$11:$E179))</f>
      </c>
      <c r="Q179" s="29" cm="1">
        <f t="array" ref="Q179">IF($E179="",0,IF(AND($E179&lt;$P179,OR($E180="",$P179&lt;=$E180)),1,0))</f>
        <v>0</v>
      </c>
      <c r="R179" s="27" cm="1">
        <f t="array" ref="R179">IF($V$4=0,"",ROUND($V$4,1)-10+(179-11)*0.1)</f>
        <v>3162</v>
      </c>
      <c r="S179" s="28">
        <v>5000</v>
      </c>
      <c r="T179" t="str" s="30" cm="1">
        <f t="array" ref="T179">IF($E179="","",ROUND($G179/$D$8,0)*$D$8)</f>
      </c>
      <c r="U179" s="14"/>
      <c r="V179" s="8"/>
    </row>
    <row r="180" ht="13.55" customHeight="1">
      <c r="A180" t="str" s="30" cm="1">
        <f t="array" ref="A180">IF($E180="","",COUNT($E$11:$E180))</f>
      </c>
      <c r="B180" s="39"/>
      <c r="C180" s="39"/>
      <c r="D180" s="39"/>
      <c r="E180" t="str" s="30" cm="1">
        <f t="array" ref="E180">IF($D180="","",_xlfn.IFERROR(IF($I180=-1,IF($D180&lt;0.5,$D180*86400,IF($D180&lt;100,$D180*1440,$D180)),IF($I180=2,VALUE(LEFT($D180,$J180-1))*3600+VALUE(MID($D180,$J180+1,$K180-$J180-1))*60,IF($I180=1,VALUE(LEFT($D180,$J180-1))*60,0))+IF($M180=0,VALUE($L180),VALUE(LEFT($L180,$M180-1))+VALUE(MID($L180,$M180+1,10))/10^(LEN($L180)-$M180))),""))</f>
      </c>
      <c r="F180" t="str" s="30" cm="1">
        <f t="array" ref="F180">IF($E180="","",MAX(0,$I$7-$E180))</f>
      </c>
      <c r="G180" t="str" s="30" cm="1">
        <f t="array" ref="G180">IF($E180="","",$F180*$D$7)</f>
      </c>
      <c r="H180" t="str" s="30" cm="1">
        <f t="array" ref="H180">IF($E180="","",$T180+IF(AND($V$6&gt;=$D$8,COUNT($E$11:$E180)=$V$7+1),$D$8,0))</f>
      </c>
      <c r="I180" t="str" s="30" cm="1">
        <f t="array" ref="I180">IF($D180="","",IF(ISTEXT($D180),LEN($D180)-LEN(SUBSTITUTE($D180,":","")),-1))</f>
      </c>
      <c r="J180" s="29" cm="1">
        <f t="array" ref="J180">_xlfn.IFERROR(FIND(":",$D180),0)</f>
        <v>0</v>
      </c>
      <c r="K180" s="29" cm="1">
        <f t="array" ref="K180">_xlfn.IFERROR(FIND(":",$D180,$J180+1),0)</f>
        <v>0</v>
      </c>
      <c r="L180" t="str" s="30" cm="1">
        <f t="array" ref="L180">IF($D180="","",IF($I180=2,MID($D180,$K180+1,10),IF($I180=1,MID($D180,$J180+1,10),IF($I180=0,$D180,""))))</f>
      </c>
      <c r="M180" s="29" cm="1">
        <f t="array" ref="M180">IF($L180="",0,_xlfn.IFERROR(FIND(".",SUBSTITUTE($L180,",",".")),0))</f>
        <v>0</v>
      </c>
      <c r="N180" s="29" cm="1">
        <f t="array" ref="N180">IF($E180="",10^9,$E180)</f>
        <v>1000000000</v>
      </c>
      <c r="O180" t="str" s="30" cm="1">
        <f t="array" ref="O180">IF($E180="","",SUM($E$11:$E180))</f>
      </c>
      <c r="P180" t="str" s="30" cm="1">
        <f t="array" ref="P180">IF($E180="","",($D$6/$D$7+$O180)/COUNT($E$11:$E180))</f>
      </c>
      <c r="Q180" s="29" cm="1">
        <f t="array" ref="Q180">IF($E180="",0,IF(AND($E180&lt;$P180,OR($E181="",$P180&lt;=$E181)),1,0))</f>
        <v>0</v>
      </c>
      <c r="R180" s="27" cm="1">
        <f t="array" ref="R180">IF($V$4=0,"",ROUND($V$4,1)-10+(180-11)*0.1)</f>
        <v>3162.1</v>
      </c>
      <c r="S180" s="28">
        <v>5000</v>
      </c>
      <c r="T180" t="str" s="30" cm="1">
        <f t="array" ref="T180">IF($E180="","",ROUND($G180/$D$8,0)*$D$8)</f>
      </c>
      <c r="U180" s="14"/>
      <c r="V180" s="8"/>
    </row>
    <row r="181" ht="13.55" customHeight="1">
      <c r="A181" t="str" s="30" cm="1">
        <f t="array" ref="A181">IF($E181="","",COUNT($E$11:$E181))</f>
      </c>
      <c r="B181" s="39"/>
      <c r="C181" s="39"/>
      <c r="D181" s="39"/>
      <c r="E181" t="str" s="30" cm="1">
        <f t="array" ref="E181">IF($D181="","",_xlfn.IFERROR(IF($I181=-1,IF($D181&lt;0.5,$D181*86400,IF($D181&lt;100,$D181*1440,$D181)),IF($I181=2,VALUE(LEFT($D181,$J181-1))*3600+VALUE(MID($D181,$J181+1,$K181-$J181-1))*60,IF($I181=1,VALUE(LEFT($D181,$J181-1))*60,0))+IF($M181=0,VALUE($L181),VALUE(LEFT($L181,$M181-1))+VALUE(MID($L181,$M181+1,10))/10^(LEN($L181)-$M181))),""))</f>
      </c>
      <c r="F181" t="str" s="30" cm="1">
        <f t="array" ref="F181">IF($E181="","",MAX(0,$I$7-$E181))</f>
      </c>
      <c r="G181" t="str" s="30" cm="1">
        <f t="array" ref="G181">IF($E181="","",$F181*$D$7)</f>
      </c>
      <c r="H181" t="str" s="30" cm="1">
        <f t="array" ref="H181">IF($E181="","",$T181+IF(AND($V$6&gt;=$D$8,COUNT($E$11:$E181)=$V$7+1),$D$8,0))</f>
      </c>
      <c r="I181" t="str" s="30" cm="1">
        <f t="array" ref="I181">IF($D181="","",IF(ISTEXT($D181),LEN($D181)-LEN(SUBSTITUTE($D181,":","")),-1))</f>
      </c>
      <c r="J181" s="29" cm="1">
        <f t="array" ref="J181">_xlfn.IFERROR(FIND(":",$D181),0)</f>
        <v>0</v>
      </c>
      <c r="K181" s="29" cm="1">
        <f t="array" ref="K181">_xlfn.IFERROR(FIND(":",$D181,$J181+1),0)</f>
        <v>0</v>
      </c>
      <c r="L181" t="str" s="30" cm="1">
        <f t="array" ref="L181">IF($D181="","",IF($I181=2,MID($D181,$K181+1,10),IF($I181=1,MID($D181,$J181+1,10),IF($I181=0,$D181,""))))</f>
      </c>
      <c r="M181" s="29" cm="1">
        <f t="array" ref="M181">IF($L181="",0,_xlfn.IFERROR(FIND(".",SUBSTITUTE($L181,",",".")),0))</f>
        <v>0</v>
      </c>
      <c r="N181" s="29" cm="1">
        <f t="array" ref="N181">IF($E181="",10^9,$E181)</f>
        <v>1000000000</v>
      </c>
      <c r="O181" t="str" s="30" cm="1">
        <f t="array" ref="O181">IF($E181="","",SUM($E$11:$E181))</f>
      </c>
      <c r="P181" t="str" s="30" cm="1">
        <f t="array" ref="P181">IF($E181="","",($D$6/$D$7+$O181)/COUNT($E$11:$E181))</f>
      </c>
      <c r="Q181" s="29" cm="1">
        <f t="array" ref="Q181">IF($E181="",0,IF(AND($E181&lt;$P181,OR($E182="",$P181&lt;=$E182)),1,0))</f>
        <v>0</v>
      </c>
      <c r="R181" s="27" cm="1">
        <f t="array" ref="R181">IF($V$4=0,"",ROUND($V$4,1)-10+(181-11)*0.1)</f>
        <v>3162.2</v>
      </c>
      <c r="S181" s="28">
        <v>5000</v>
      </c>
      <c r="T181" t="str" s="30" cm="1">
        <f t="array" ref="T181">IF($E181="","",ROUND($G181/$D$8,0)*$D$8)</f>
      </c>
      <c r="U181" s="14"/>
      <c r="V181" s="8"/>
    </row>
    <row r="182" ht="13.55" customHeight="1">
      <c r="A182" t="str" s="30" cm="1">
        <f t="array" ref="A182">IF($E182="","",COUNT($E$11:$E182))</f>
      </c>
      <c r="B182" s="39"/>
      <c r="C182" s="39"/>
      <c r="D182" s="39"/>
      <c r="E182" t="str" s="30" cm="1">
        <f t="array" ref="E182">IF($D182="","",_xlfn.IFERROR(IF($I182=-1,IF($D182&lt;0.5,$D182*86400,IF($D182&lt;100,$D182*1440,$D182)),IF($I182=2,VALUE(LEFT($D182,$J182-1))*3600+VALUE(MID($D182,$J182+1,$K182-$J182-1))*60,IF($I182=1,VALUE(LEFT($D182,$J182-1))*60,0))+IF($M182=0,VALUE($L182),VALUE(LEFT($L182,$M182-1))+VALUE(MID($L182,$M182+1,10))/10^(LEN($L182)-$M182))),""))</f>
      </c>
      <c r="F182" t="str" s="30" cm="1">
        <f t="array" ref="F182">IF($E182="","",MAX(0,$I$7-$E182))</f>
      </c>
      <c r="G182" t="str" s="30" cm="1">
        <f t="array" ref="G182">IF($E182="","",$F182*$D$7)</f>
      </c>
      <c r="H182" t="str" s="30" cm="1">
        <f t="array" ref="H182">IF($E182="","",$T182+IF(AND($V$6&gt;=$D$8,COUNT($E$11:$E182)=$V$7+1),$D$8,0))</f>
      </c>
      <c r="I182" t="str" s="30" cm="1">
        <f t="array" ref="I182">IF($D182="","",IF(ISTEXT($D182),LEN($D182)-LEN(SUBSTITUTE($D182,":","")),-1))</f>
      </c>
      <c r="J182" s="29" cm="1">
        <f t="array" ref="J182">_xlfn.IFERROR(FIND(":",$D182),0)</f>
        <v>0</v>
      </c>
      <c r="K182" s="29" cm="1">
        <f t="array" ref="K182">_xlfn.IFERROR(FIND(":",$D182,$J182+1),0)</f>
        <v>0</v>
      </c>
      <c r="L182" t="str" s="30" cm="1">
        <f t="array" ref="L182">IF($D182="","",IF($I182=2,MID($D182,$K182+1,10),IF($I182=1,MID($D182,$J182+1,10),IF($I182=0,$D182,""))))</f>
      </c>
      <c r="M182" s="29" cm="1">
        <f t="array" ref="M182">IF($L182="",0,_xlfn.IFERROR(FIND(".",SUBSTITUTE($L182,",",".")),0))</f>
        <v>0</v>
      </c>
      <c r="N182" s="29" cm="1">
        <f t="array" ref="N182">IF($E182="",10^9,$E182)</f>
        <v>1000000000</v>
      </c>
      <c r="O182" t="str" s="30" cm="1">
        <f t="array" ref="O182">IF($E182="","",SUM($E$11:$E182))</f>
      </c>
      <c r="P182" t="str" s="30" cm="1">
        <f t="array" ref="P182">IF($E182="","",($D$6/$D$7+$O182)/COUNT($E$11:$E182))</f>
      </c>
      <c r="Q182" s="29" cm="1">
        <f t="array" ref="Q182">IF($E182="",0,IF(AND($E182&lt;$P182,OR($E183="",$P182&lt;=$E183)),1,0))</f>
        <v>0</v>
      </c>
      <c r="R182" s="27" cm="1">
        <f t="array" ref="R182">IF($V$4=0,"",ROUND($V$4,1)-10+(182-11)*0.1)</f>
        <v>3162.3</v>
      </c>
      <c r="S182" s="28">
        <v>5000</v>
      </c>
      <c r="T182" t="str" s="30" cm="1">
        <f t="array" ref="T182">IF($E182="","",ROUND($G182/$D$8,0)*$D$8)</f>
      </c>
      <c r="U182" s="14"/>
      <c r="V182" s="8"/>
    </row>
    <row r="183" ht="13.55" customHeight="1">
      <c r="A183" t="str" s="30" cm="1">
        <f t="array" ref="A183">IF($E183="","",COUNT($E$11:$E183))</f>
      </c>
      <c r="B183" s="39"/>
      <c r="C183" s="39"/>
      <c r="D183" s="39"/>
      <c r="E183" t="str" s="30" cm="1">
        <f t="array" ref="E183">IF($D183="","",_xlfn.IFERROR(IF($I183=-1,IF($D183&lt;0.5,$D183*86400,IF($D183&lt;100,$D183*1440,$D183)),IF($I183=2,VALUE(LEFT($D183,$J183-1))*3600+VALUE(MID($D183,$J183+1,$K183-$J183-1))*60,IF($I183=1,VALUE(LEFT($D183,$J183-1))*60,0))+IF($M183=0,VALUE($L183),VALUE(LEFT($L183,$M183-1))+VALUE(MID($L183,$M183+1,10))/10^(LEN($L183)-$M183))),""))</f>
      </c>
      <c r="F183" t="str" s="30" cm="1">
        <f t="array" ref="F183">IF($E183="","",MAX(0,$I$7-$E183))</f>
      </c>
      <c r="G183" t="str" s="30" cm="1">
        <f t="array" ref="G183">IF($E183="","",$F183*$D$7)</f>
      </c>
      <c r="H183" t="str" s="30" cm="1">
        <f t="array" ref="H183">IF($E183="","",$T183+IF(AND($V$6&gt;=$D$8,COUNT($E$11:$E183)=$V$7+1),$D$8,0))</f>
      </c>
      <c r="I183" t="str" s="30" cm="1">
        <f t="array" ref="I183">IF($D183="","",IF(ISTEXT($D183),LEN($D183)-LEN(SUBSTITUTE($D183,":","")),-1))</f>
      </c>
      <c r="J183" s="29" cm="1">
        <f t="array" ref="J183">_xlfn.IFERROR(FIND(":",$D183),0)</f>
        <v>0</v>
      </c>
      <c r="K183" s="29" cm="1">
        <f t="array" ref="K183">_xlfn.IFERROR(FIND(":",$D183,$J183+1),0)</f>
        <v>0</v>
      </c>
      <c r="L183" t="str" s="30" cm="1">
        <f t="array" ref="L183">IF($D183="","",IF($I183=2,MID($D183,$K183+1,10),IF($I183=1,MID($D183,$J183+1,10),IF($I183=0,$D183,""))))</f>
      </c>
      <c r="M183" s="29" cm="1">
        <f t="array" ref="M183">IF($L183="",0,_xlfn.IFERROR(FIND(".",SUBSTITUTE($L183,",",".")),0))</f>
        <v>0</v>
      </c>
      <c r="N183" s="29" cm="1">
        <f t="array" ref="N183">IF($E183="",10^9,$E183)</f>
        <v>1000000000</v>
      </c>
      <c r="O183" t="str" s="30" cm="1">
        <f t="array" ref="O183">IF($E183="","",SUM($E$11:$E183))</f>
      </c>
      <c r="P183" t="str" s="30" cm="1">
        <f t="array" ref="P183">IF($E183="","",($D$6/$D$7+$O183)/COUNT($E$11:$E183))</f>
      </c>
      <c r="Q183" s="29" cm="1">
        <f t="array" ref="Q183">IF($E183="",0,IF(AND($E183&lt;$P183,OR($E184="",$P183&lt;=$E184)),1,0))</f>
        <v>0</v>
      </c>
      <c r="R183" s="27" cm="1">
        <f t="array" ref="R183">IF($V$4=0,"",ROUND($V$4,1)-10+(183-11)*0.1)</f>
        <v>3162.4</v>
      </c>
      <c r="S183" s="28">
        <v>5000</v>
      </c>
      <c r="T183" t="str" s="30" cm="1">
        <f t="array" ref="T183">IF($E183="","",ROUND($G183/$D$8,0)*$D$8)</f>
      </c>
      <c r="U183" s="14"/>
      <c r="V183" s="8"/>
    </row>
    <row r="184" ht="13.55" customHeight="1">
      <c r="A184" t="str" s="30" cm="1">
        <f t="array" ref="A184">IF($E184="","",COUNT($E$11:$E184))</f>
      </c>
      <c r="B184" s="39"/>
      <c r="C184" s="39"/>
      <c r="D184" s="39"/>
      <c r="E184" t="str" s="30" cm="1">
        <f t="array" ref="E184">IF($D184="","",_xlfn.IFERROR(IF($I184=-1,IF($D184&lt;0.5,$D184*86400,IF($D184&lt;100,$D184*1440,$D184)),IF($I184=2,VALUE(LEFT($D184,$J184-1))*3600+VALUE(MID($D184,$J184+1,$K184-$J184-1))*60,IF($I184=1,VALUE(LEFT($D184,$J184-1))*60,0))+IF($M184=0,VALUE($L184),VALUE(LEFT($L184,$M184-1))+VALUE(MID($L184,$M184+1,10))/10^(LEN($L184)-$M184))),""))</f>
      </c>
      <c r="F184" t="str" s="30" cm="1">
        <f t="array" ref="F184">IF($E184="","",MAX(0,$I$7-$E184))</f>
      </c>
      <c r="G184" t="str" s="30" cm="1">
        <f t="array" ref="G184">IF($E184="","",$F184*$D$7)</f>
      </c>
      <c r="H184" t="str" s="30" cm="1">
        <f t="array" ref="H184">IF($E184="","",$T184+IF(AND($V$6&gt;=$D$8,COUNT($E$11:$E184)=$V$7+1),$D$8,0))</f>
      </c>
      <c r="I184" t="str" s="30" cm="1">
        <f t="array" ref="I184">IF($D184="","",IF(ISTEXT($D184),LEN($D184)-LEN(SUBSTITUTE($D184,":","")),-1))</f>
      </c>
      <c r="J184" s="29" cm="1">
        <f t="array" ref="J184">_xlfn.IFERROR(FIND(":",$D184),0)</f>
        <v>0</v>
      </c>
      <c r="K184" s="29" cm="1">
        <f t="array" ref="K184">_xlfn.IFERROR(FIND(":",$D184,$J184+1),0)</f>
        <v>0</v>
      </c>
      <c r="L184" t="str" s="30" cm="1">
        <f t="array" ref="L184">IF($D184="","",IF($I184=2,MID($D184,$K184+1,10),IF($I184=1,MID($D184,$J184+1,10),IF($I184=0,$D184,""))))</f>
      </c>
      <c r="M184" s="29" cm="1">
        <f t="array" ref="M184">IF($L184="",0,_xlfn.IFERROR(FIND(".",SUBSTITUTE($L184,",",".")),0))</f>
        <v>0</v>
      </c>
      <c r="N184" s="29" cm="1">
        <f t="array" ref="N184">IF($E184="",10^9,$E184)</f>
        <v>1000000000</v>
      </c>
      <c r="O184" t="str" s="30" cm="1">
        <f t="array" ref="O184">IF($E184="","",SUM($E$11:$E184))</f>
      </c>
      <c r="P184" t="str" s="30" cm="1">
        <f t="array" ref="P184">IF($E184="","",($D$6/$D$7+$O184)/COUNT($E$11:$E184))</f>
      </c>
      <c r="Q184" s="29" cm="1">
        <f t="array" ref="Q184">IF($E184="",0,IF(AND($E184&lt;$P184,OR($E185="",$P184&lt;=$E185)),1,0))</f>
        <v>0</v>
      </c>
      <c r="R184" s="27" cm="1">
        <f t="array" ref="R184">IF($V$4=0,"",ROUND($V$4,1)-10+(184-11)*0.1)</f>
        <v>3162.5</v>
      </c>
      <c r="S184" s="28">
        <v>5000</v>
      </c>
      <c r="T184" t="str" s="30" cm="1">
        <f t="array" ref="T184">IF($E184="","",ROUND($G184/$D$8,0)*$D$8)</f>
      </c>
      <c r="U184" s="14"/>
      <c r="V184" s="8"/>
    </row>
    <row r="185" ht="13.55" customHeight="1">
      <c r="A185" t="str" s="30" cm="1">
        <f t="array" ref="A185">IF($E185="","",COUNT($E$11:$E185))</f>
      </c>
      <c r="B185" s="39"/>
      <c r="C185" s="39"/>
      <c r="D185" s="39"/>
      <c r="E185" t="str" s="30" cm="1">
        <f t="array" ref="E185">IF($D185="","",_xlfn.IFERROR(IF($I185=-1,IF($D185&lt;0.5,$D185*86400,IF($D185&lt;100,$D185*1440,$D185)),IF($I185=2,VALUE(LEFT($D185,$J185-1))*3600+VALUE(MID($D185,$J185+1,$K185-$J185-1))*60,IF($I185=1,VALUE(LEFT($D185,$J185-1))*60,0))+IF($M185=0,VALUE($L185),VALUE(LEFT($L185,$M185-1))+VALUE(MID($L185,$M185+1,10))/10^(LEN($L185)-$M185))),""))</f>
      </c>
      <c r="F185" t="str" s="30" cm="1">
        <f t="array" ref="F185">IF($E185="","",MAX(0,$I$7-$E185))</f>
      </c>
      <c r="G185" t="str" s="30" cm="1">
        <f t="array" ref="G185">IF($E185="","",$F185*$D$7)</f>
      </c>
      <c r="H185" t="str" s="30" cm="1">
        <f t="array" ref="H185">IF($E185="","",$T185+IF(AND($V$6&gt;=$D$8,COUNT($E$11:$E185)=$V$7+1),$D$8,0))</f>
      </c>
      <c r="I185" t="str" s="30" cm="1">
        <f t="array" ref="I185">IF($D185="","",IF(ISTEXT($D185),LEN($D185)-LEN(SUBSTITUTE($D185,":","")),-1))</f>
      </c>
      <c r="J185" s="29" cm="1">
        <f t="array" ref="J185">_xlfn.IFERROR(FIND(":",$D185),0)</f>
        <v>0</v>
      </c>
      <c r="K185" s="29" cm="1">
        <f t="array" ref="K185">_xlfn.IFERROR(FIND(":",$D185,$J185+1),0)</f>
        <v>0</v>
      </c>
      <c r="L185" t="str" s="30" cm="1">
        <f t="array" ref="L185">IF($D185="","",IF($I185=2,MID($D185,$K185+1,10),IF($I185=1,MID($D185,$J185+1,10),IF($I185=0,$D185,""))))</f>
      </c>
      <c r="M185" s="29" cm="1">
        <f t="array" ref="M185">IF($L185="",0,_xlfn.IFERROR(FIND(".",SUBSTITUTE($L185,",",".")),0))</f>
        <v>0</v>
      </c>
      <c r="N185" s="29" cm="1">
        <f t="array" ref="N185">IF($E185="",10^9,$E185)</f>
        <v>1000000000</v>
      </c>
      <c r="O185" t="str" s="30" cm="1">
        <f t="array" ref="O185">IF($E185="","",SUM($E$11:$E185))</f>
      </c>
      <c r="P185" t="str" s="30" cm="1">
        <f t="array" ref="P185">IF($E185="","",($D$6/$D$7+$O185)/COUNT($E$11:$E185))</f>
      </c>
      <c r="Q185" s="29" cm="1">
        <f t="array" ref="Q185">IF($E185="",0,IF(AND($E185&lt;$P185,OR($E186="",$P185&lt;=$E186)),1,0))</f>
        <v>0</v>
      </c>
      <c r="R185" s="27" cm="1">
        <f t="array" ref="R185">IF($V$4=0,"",ROUND($V$4,1)-10+(185-11)*0.1)</f>
        <v>3162.6</v>
      </c>
      <c r="S185" s="28">
        <v>5000</v>
      </c>
      <c r="T185" t="str" s="30" cm="1">
        <f t="array" ref="T185">IF($E185="","",ROUND($G185/$D$8,0)*$D$8)</f>
      </c>
      <c r="U185" s="14"/>
      <c r="V185" s="8"/>
    </row>
    <row r="186" ht="13.55" customHeight="1">
      <c r="A186" t="str" s="30" cm="1">
        <f t="array" ref="A186">IF($E186="","",COUNT($E$11:$E186))</f>
      </c>
      <c r="B186" s="39"/>
      <c r="C186" s="39"/>
      <c r="D186" s="39"/>
      <c r="E186" t="str" s="30" cm="1">
        <f t="array" ref="E186">IF($D186="","",_xlfn.IFERROR(IF($I186=-1,IF($D186&lt;0.5,$D186*86400,IF($D186&lt;100,$D186*1440,$D186)),IF($I186=2,VALUE(LEFT($D186,$J186-1))*3600+VALUE(MID($D186,$J186+1,$K186-$J186-1))*60,IF($I186=1,VALUE(LEFT($D186,$J186-1))*60,0))+IF($M186=0,VALUE($L186),VALUE(LEFT($L186,$M186-1))+VALUE(MID($L186,$M186+1,10))/10^(LEN($L186)-$M186))),""))</f>
      </c>
      <c r="F186" t="str" s="30" cm="1">
        <f t="array" ref="F186">IF($E186="","",MAX(0,$I$7-$E186))</f>
      </c>
      <c r="G186" t="str" s="30" cm="1">
        <f t="array" ref="G186">IF($E186="","",$F186*$D$7)</f>
      </c>
      <c r="H186" t="str" s="30" cm="1">
        <f t="array" ref="H186">IF($E186="","",$T186+IF(AND($V$6&gt;=$D$8,COUNT($E$11:$E186)=$V$7+1),$D$8,0))</f>
      </c>
      <c r="I186" t="str" s="30" cm="1">
        <f t="array" ref="I186">IF($D186="","",IF(ISTEXT($D186),LEN($D186)-LEN(SUBSTITUTE($D186,":","")),-1))</f>
      </c>
      <c r="J186" s="29" cm="1">
        <f t="array" ref="J186">_xlfn.IFERROR(FIND(":",$D186),0)</f>
        <v>0</v>
      </c>
      <c r="K186" s="29" cm="1">
        <f t="array" ref="K186">_xlfn.IFERROR(FIND(":",$D186,$J186+1),0)</f>
        <v>0</v>
      </c>
      <c r="L186" t="str" s="30" cm="1">
        <f t="array" ref="L186">IF($D186="","",IF($I186=2,MID($D186,$K186+1,10),IF($I186=1,MID($D186,$J186+1,10),IF($I186=0,$D186,""))))</f>
      </c>
      <c r="M186" s="29" cm="1">
        <f t="array" ref="M186">IF($L186="",0,_xlfn.IFERROR(FIND(".",SUBSTITUTE($L186,",",".")),0))</f>
        <v>0</v>
      </c>
      <c r="N186" s="29" cm="1">
        <f t="array" ref="N186">IF($E186="",10^9,$E186)</f>
        <v>1000000000</v>
      </c>
      <c r="O186" t="str" s="30" cm="1">
        <f t="array" ref="O186">IF($E186="","",SUM($E$11:$E186))</f>
      </c>
      <c r="P186" t="str" s="30" cm="1">
        <f t="array" ref="P186">IF($E186="","",($D$6/$D$7+$O186)/COUNT($E$11:$E186))</f>
      </c>
      <c r="Q186" s="29" cm="1">
        <f t="array" ref="Q186">IF($E186="",0,IF(AND($E186&lt;$P186,OR($E187="",$P186&lt;=$E187)),1,0))</f>
        <v>0</v>
      </c>
      <c r="R186" s="27" cm="1">
        <f t="array" ref="R186">IF($V$4=0,"",ROUND($V$4,1)-10+(186-11)*0.1)</f>
        <v>3162.7</v>
      </c>
      <c r="S186" s="28">
        <v>5000</v>
      </c>
      <c r="T186" t="str" s="30" cm="1">
        <f t="array" ref="T186">IF($E186="","",ROUND($G186/$D$8,0)*$D$8)</f>
      </c>
      <c r="U186" s="14"/>
      <c r="V186" s="8"/>
    </row>
    <row r="187" ht="13.55" customHeight="1">
      <c r="A187" t="str" s="30" cm="1">
        <f t="array" ref="A187">IF($E187="","",COUNT($E$11:$E187))</f>
      </c>
      <c r="B187" s="39"/>
      <c r="C187" s="39"/>
      <c r="D187" s="39"/>
      <c r="E187" t="str" s="30" cm="1">
        <f t="array" ref="E187">IF($D187="","",_xlfn.IFERROR(IF($I187=-1,IF($D187&lt;0.5,$D187*86400,IF($D187&lt;100,$D187*1440,$D187)),IF($I187=2,VALUE(LEFT($D187,$J187-1))*3600+VALUE(MID($D187,$J187+1,$K187-$J187-1))*60,IF($I187=1,VALUE(LEFT($D187,$J187-1))*60,0))+IF($M187=0,VALUE($L187),VALUE(LEFT($L187,$M187-1))+VALUE(MID($L187,$M187+1,10))/10^(LEN($L187)-$M187))),""))</f>
      </c>
      <c r="F187" t="str" s="30" cm="1">
        <f t="array" ref="F187">IF($E187="","",MAX(0,$I$7-$E187))</f>
      </c>
      <c r="G187" t="str" s="30" cm="1">
        <f t="array" ref="G187">IF($E187="","",$F187*$D$7)</f>
      </c>
      <c r="H187" t="str" s="30" cm="1">
        <f t="array" ref="H187">IF($E187="","",$T187+IF(AND($V$6&gt;=$D$8,COUNT($E$11:$E187)=$V$7+1),$D$8,0))</f>
      </c>
      <c r="I187" t="str" s="30" cm="1">
        <f t="array" ref="I187">IF($D187="","",IF(ISTEXT($D187),LEN($D187)-LEN(SUBSTITUTE($D187,":","")),-1))</f>
      </c>
      <c r="J187" s="29" cm="1">
        <f t="array" ref="J187">_xlfn.IFERROR(FIND(":",$D187),0)</f>
        <v>0</v>
      </c>
      <c r="K187" s="29" cm="1">
        <f t="array" ref="K187">_xlfn.IFERROR(FIND(":",$D187,$J187+1),0)</f>
        <v>0</v>
      </c>
      <c r="L187" t="str" s="30" cm="1">
        <f t="array" ref="L187">IF($D187="","",IF($I187=2,MID($D187,$K187+1,10),IF($I187=1,MID($D187,$J187+1,10),IF($I187=0,$D187,""))))</f>
      </c>
      <c r="M187" s="29" cm="1">
        <f t="array" ref="M187">IF($L187="",0,_xlfn.IFERROR(FIND(".",SUBSTITUTE($L187,",",".")),0))</f>
        <v>0</v>
      </c>
      <c r="N187" s="29" cm="1">
        <f t="array" ref="N187">IF($E187="",10^9,$E187)</f>
        <v>1000000000</v>
      </c>
      <c r="O187" t="str" s="30" cm="1">
        <f t="array" ref="O187">IF($E187="","",SUM($E$11:$E187))</f>
      </c>
      <c r="P187" t="str" s="30" cm="1">
        <f t="array" ref="P187">IF($E187="","",($D$6/$D$7+$O187)/COUNT($E$11:$E187))</f>
      </c>
      <c r="Q187" s="29" cm="1">
        <f t="array" ref="Q187">IF($E187="",0,IF(AND($E187&lt;$P187,OR($E188="",$P187&lt;=$E188)),1,0))</f>
        <v>0</v>
      </c>
      <c r="R187" s="27" cm="1">
        <f t="array" ref="R187">IF($V$4=0,"",ROUND($V$4,1)-10+(187-11)*0.1)</f>
        <v>3162.8</v>
      </c>
      <c r="S187" s="28">
        <v>5000</v>
      </c>
      <c r="T187" t="str" s="30" cm="1">
        <f t="array" ref="T187">IF($E187="","",ROUND($G187/$D$8,0)*$D$8)</f>
      </c>
      <c r="U187" s="14"/>
      <c r="V187" s="8"/>
    </row>
    <row r="188" ht="13.55" customHeight="1">
      <c r="A188" t="str" s="30" cm="1">
        <f t="array" ref="A188">IF($E188="","",COUNT($E$11:$E188))</f>
      </c>
      <c r="B188" s="39"/>
      <c r="C188" s="39"/>
      <c r="D188" s="39"/>
      <c r="E188" t="str" s="30" cm="1">
        <f t="array" ref="E188">IF($D188="","",_xlfn.IFERROR(IF($I188=-1,IF($D188&lt;0.5,$D188*86400,IF($D188&lt;100,$D188*1440,$D188)),IF($I188=2,VALUE(LEFT($D188,$J188-1))*3600+VALUE(MID($D188,$J188+1,$K188-$J188-1))*60,IF($I188=1,VALUE(LEFT($D188,$J188-1))*60,0))+IF($M188=0,VALUE($L188),VALUE(LEFT($L188,$M188-1))+VALUE(MID($L188,$M188+1,10))/10^(LEN($L188)-$M188))),""))</f>
      </c>
      <c r="F188" t="str" s="30" cm="1">
        <f t="array" ref="F188">IF($E188="","",MAX(0,$I$7-$E188))</f>
      </c>
      <c r="G188" t="str" s="30" cm="1">
        <f t="array" ref="G188">IF($E188="","",$F188*$D$7)</f>
      </c>
      <c r="H188" t="str" s="30" cm="1">
        <f t="array" ref="H188">IF($E188="","",$T188+IF(AND($V$6&gt;=$D$8,COUNT($E$11:$E188)=$V$7+1),$D$8,0))</f>
      </c>
      <c r="I188" t="str" s="30" cm="1">
        <f t="array" ref="I188">IF($D188="","",IF(ISTEXT($D188),LEN($D188)-LEN(SUBSTITUTE($D188,":","")),-1))</f>
      </c>
      <c r="J188" s="29" cm="1">
        <f t="array" ref="J188">_xlfn.IFERROR(FIND(":",$D188),0)</f>
        <v>0</v>
      </c>
      <c r="K188" s="29" cm="1">
        <f t="array" ref="K188">_xlfn.IFERROR(FIND(":",$D188,$J188+1),0)</f>
        <v>0</v>
      </c>
      <c r="L188" t="str" s="30" cm="1">
        <f t="array" ref="L188">IF($D188="","",IF($I188=2,MID($D188,$K188+1,10),IF($I188=1,MID($D188,$J188+1,10),IF($I188=0,$D188,""))))</f>
      </c>
      <c r="M188" s="29" cm="1">
        <f t="array" ref="M188">IF($L188="",0,_xlfn.IFERROR(FIND(".",SUBSTITUTE($L188,",",".")),0))</f>
        <v>0</v>
      </c>
      <c r="N188" s="29" cm="1">
        <f t="array" ref="N188">IF($E188="",10^9,$E188)</f>
        <v>1000000000</v>
      </c>
      <c r="O188" t="str" s="30" cm="1">
        <f t="array" ref="O188">IF($E188="","",SUM($E$11:$E188))</f>
      </c>
      <c r="P188" t="str" s="30" cm="1">
        <f t="array" ref="P188">IF($E188="","",($D$6/$D$7+$O188)/COUNT($E$11:$E188))</f>
      </c>
      <c r="Q188" s="29" cm="1">
        <f t="array" ref="Q188">IF($E188="",0,IF(AND($E188&lt;$P188,OR($E189="",$P188&lt;=$E189)),1,0))</f>
        <v>0</v>
      </c>
      <c r="R188" s="27" cm="1">
        <f t="array" ref="R188">IF($V$4=0,"",ROUND($V$4,1)-10+(188-11)*0.1)</f>
        <v>3162.9</v>
      </c>
      <c r="S188" s="28">
        <v>5000</v>
      </c>
      <c r="T188" t="str" s="30" cm="1">
        <f t="array" ref="T188">IF($E188="","",ROUND($G188/$D$8,0)*$D$8)</f>
      </c>
      <c r="U188" s="14"/>
      <c r="V188" s="8"/>
    </row>
    <row r="189" ht="13.55" customHeight="1">
      <c r="A189" t="str" s="30" cm="1">
        <f t="array" ref="A189">IF($E189="","",COUNT($E$11:$E189))</f>
      </c>
      <c r="B189" s="39"/>
      <c r="C189" s="39"/>
      <c r="D189" s="39"/>
      <c r="E189" t="str" s="30" cm="1">
        <f t="array" ref="E189">IF($D189="","",_xlfn.IFERROR(IF($I189=-1,IF($D189&lt;0.5,$D189*86400,IF($D189&lt;100,$D189*1440,$D189)),IF($I189=2,VALUE(LEFT($D189,$J189-1))*3600+VALUE(MID($D189,$J189+1,$K189-$J189-1))*60,IF($I189=1,VALUE(LEFT($D189,$J189-1))*60,0))+IF($M189=0,VALUE($L189),VALUE(LEFT($L189,$M189-1))+VALUE(MID($L189,$M189+1,10))/10^(LEN($L189)-$M189))),""))</f>
      </c>
      <c r="F189" t="str" s="30" cm="1">
        <f t="array" ref="F189">IF($E189="","",MAX(0,$I$7-$E189))</f>
      </c>
      <c r="G189" t="str" s="30" cm="1">
        <f t="array" ref="G189">IF($E189="","",$F189*$D$7)</f>
      </c>
      <c r="H189" t="str" s="30" cm="1">
        <f t="array" ref="H189">IF($E189="","",$T189+IF(AND($V$6&gt;=$D$8,COUNT($E$11:$E189)=$V$7+1),$D$8,0))</f>
      </c>
      <c r="I189" t="str" s="30" cm="1">
        <f t="array" ref="I189">IF($D189="","",IF(ISTEXT($D189),LEN($D189)-LEN(SUBSTITUTE($D189,":","")),-1))</f>
      </c>
      <c r="J189" s="29" cm="1">
        <f t="array" ref="J189">_xlfn.IFERROR(FIND(":",$D189),0)</f>
        <v>0</v>
      </c>
      <c r="K189" s="29" cm="1">
        <f t="array" ref="K189">_xlfn.IFERROR(FIND(":",$D189,$J189+1),0)</f>
        <v>0</v>
      </c>
      <c r="L189" t="str" s="30" cm="1">
        <f t="array" ref="L189">IF($D189="","",IF($I189=2,MID($D189,$K189+1,10),IF($I189=1,MID($D189,$J189+1,10),IF($I189=0,$D189,""))))</f>
      </c>
      <c r="M189" s="29" cm="1">
        <f t="array" ref="M189">IF($L189="",0,_xlfn.IFERROR(FIND(".",SUBSTITUTE($L189,",",".")),0))</f>
        <v>0</v>
      </c>
      <c r="N189" s="29" cm="1">
        <f t="array" ref="N189">IF($E189="",10^9,$E189)</f>
        <v>1000000000</v>
      </c>
      <c r="O189" t="str" s="30" cm="1">
        <f t="array" ref="O189">IF($E189="","",SUM($E$11:$E189))</f>
      </c>
      <c r="P189" t="str" s="30" cm="1">
        <f t="array" ref="P189">IF($E189="","",($D$6/$D$7+$O189)/COUNT($E$11:$E189))</f>
      </c>
      <c r="Q189" s="29" cm="1">
        <f t="array" ref="Q189">IF($E189="",0,IF(AND($E189&lt;$P189,OR($E190="",$P189&lt;=$E190)),1,0))</f>
        <v>0</v>
      </c>
      <c r="R189" s="27" cm="1">
        <f t="array" ref="R189">IF($V$4=0,"",ROUND($V$4,1)-10+(189-11)*0.1)</f>
        <v>3163</v>
      </c>
      <c r="S189" s="28">
        <v>5000</v>
      </c>
      <c r="T189" t="str" s="30" cm="1">
        <f t="array" ref="T189">IF($E189="","",ROUND($G189/$D$8,0)*$D$8)</f>
      </c>
      <c r="U189" s="14"/>
      <c r="V189" s="8"/>
    </row>
    <row r="190" ht="13.55" customHeight="1">
      <c r="A190" t="str" s="30" cm="1">
        <f t="array" ref="A190">IF($E190="","",COUNT($E$11:$E190))</f>
      </c>
      <c r="B190" s="39"/>
      <c r="C190" s="39"/>
      <c r="D190" s="39"/>
      <c r="E190" t="str" s="30" cm="1">
        <f t="array" ref="E190">IF($D190="","",_xlfn.IFERROR(IF($I190=-1,IF($D190&lt;0.5,$D190*86400,IF($D190&lt;100,$D190*1440,$D190)),IF($I190=2,VALUE(LEFT($D190,$J190-1))*3600+VALUE(MID($D190,$J190+1,$K190-$J190-1))*60,IF($I190=1,VALUE(LEFT($D190,$J190-1))*60,0))+IF($M190=0,VALUE($L190),VALUE(LEFT($L190,$M190-1))+VALUE(MID($L190,$M190+1,10))/10^(LEN($L190)-$M190))),""))</f>
      </c>
      <c r="F190" t="str" s="30" cm="1">
        <f t="array" ref="F190">IF($E190="","",MAX(0,$I$7-$E190))</f>
      </c>
      <c r="G190" t="str" s="30" cm="1">
        <f t="array" ref="G190">IF($E190="","",$F190*$D$7)</f>
      </c>
      <c r="H190" t="str" s="30" cm="1">
        <f t="array" ref="H190">IF($E190="","",$T190+IF(AND($V$6&gt;=$D$8,COUNT($E$11:$E190)=$V$7+1),$D$8,0))</f>
      </c>
      <c r="I190" t="str" s="30" cm="1">
        <f t="array" ref="I190">IF($D190="","",IF(ISTEXT($D190),LEN($D190)-LEN(SUBSTITUTE($D190,":","")),-1))</f>
      </c>
      <c r="J190" s="29" cm="1">
        <f t="array" ref="J190">_xlfn.IFERROR(FIND(":",$D190),0)</f>
        <v>0</v>
      </c>
      <c r="K190" s="29" cm="1">
        <f t="array" ref="K190">_xlfn.IFERROR(FIND(":",$D190,$J190+1),0)</f>
        <v>0</v>
      </c>
      <c r="L190" t="str" s="30" cm="1">
        <f t="array" ref="L190">IF($D190="","",IF($I190=2,MID($D190,$K190+1,10),IF($I190=1,MID($D190,$J190+1,10),IF($I190=0,$D190,""))))</f>
      </c>
      <c r="M190" s="29" cm="1">
        <f t="array" ref="M190">IF($L190="",0,_xlfn.IFERROR(FIND(".",SUBSTITUTE($L190,",",".")),0))</f>
        <v>0</v>
      </c>
      <c r="N190" s="29" cm="1">
        <f t="array" ref="N190">IF($E190="",10^9,$E190)</f>
        <v>1000000000</v>
      </c>
      <c r="O190" t="str" s="30" cm="1">
        <f t="array" ref="O190">IF($E190="","",SUM($E$11:$E190))</f>
      </c>
      <c r="P190" t="str" s="30" cm="1">
        <f t="array" ref="P190">IF($E190="","",($D$6/$D$7+$O190)/COUNT($E$11:$E190))</f>
      </c>
      <c r="Q190" s="29" cm="1">
        <f t="array" ref="Q190">IF($E190="",0,IF(AND($E190&lt;$P190,OR($E191="",$P190&lt;=$E191)),1,0))</f>
        <v>0</v>
      </c>
      <c r="R190" s="27" cm="1">
        <f t="array" ref="R190">IF($V$4=0,"",ROUND($V$4,1)-10+(190-11)*0.1)</f>
        <v>3163.1</v>
      </c>
      <c r="S190" s="28">
        <v>5000</v>
      </c>
      <c r="T190" t="str" s="30" cm="1">
        <f t="array" ref="T190">IF($E190="","",ROUND($G190/$D$8,0)*$D$8)</f>
      </c>
      <c r="U190" s="14"/>
      <c r="V190" s="8"/>
    </row>
    <row r="191" ht="13.55" customHeight="1">
      <c r="A191" t="str" s="30" cm="1">
        <f t="array" ref="A191">IF($E191="","",COUNT($E$11:$E191))</f>
      </c>
      <c r="B191" s="39"/>
      <c r="C191" s="39"/>
      <c r="D191" s="39"/>
      <c r="E191" t="str" s="30" cm="1">
        <f t="array" ref="E191">IF($D191="","",_xlfn.IFERROR(IF($I191=-1,IF($D191&lt;0.5,$D191*86400,IF($D191&lt;100,$D191*1440,$D191)),IF($I191=2,VALUE(LEFT($D191,$J191-1))*3600+VALUE(MID($D191,$J191+1,$K191-$J191-1))*60,IF($I191=1,VALUE(LEFT($D191,$J191-1))*60,0))+IF($M191=0,VALUE($L191),VALUE(LEFT($L191,$M191-1))+VALUE(MID($L191,$M191+1,10))/10^(LEN($L191)-$M191))),""))</f>
      </c>
      <c r="F191" t="str" s="30" cm="1">
        <f t="array" ref="F191">IF($E191="","",MAX(0,$I$7-$E191))</f>
      </c>
      <c r="G191" t="str" s="30" cm="1">
        <f t="array" ref="G191">IF($E191="","",$F191*$D$7)</f>
      </c>
      <c r="H191" t="str" s="30" cm="1">
        <f t="array" ref="H191">IF($E191="","",$T191+IF(AND($V$6&gt;=$D$8,COUNT($E$11:$E191)=$V$7+1),$D$8,0))</f>
      </c>
      <c r="I191" t="str" s="30" cm="1">
        <f t="array" ref="I191">IF($D191="","",IF(ISTEXT($D191),LEN($D191)-LEN(SUBSTITUTE($D191,":","")),-1))</f>
      </c>
      <c r="J191" s="29" cm="1">
        <f t="array" ref="J191">_xlfn.IFERROR(FIND(":",$D191),0)</f>
        <v>0</v>
      </c>
      <c r="K191" s="29" cm="1">
        <f t="array" ref="K191">_xlfn.IFERROR(FIND(":",$D191,$J191+1),0)</f>
        <v>0</v>
      </c>
      <c r="L191" t="str" s="30" cm="1">
        <f t="array" ref="L191">IF($D191="","",IF($I191=2,MID($D191,$K191+1,10),IF($I191=1,MID($D191,$J191+1,10),IF($I191=0,$D191,""))))</f>
      </c>
      <c r="M191" s="29" cm="1">
        <f t="array" ref="M191">IF($L191="",0,_xlfn.IFERROR(FIND(".",SUBSTITUTE($L191,",",".")),0))</f>
        <v>0</v>
      </c>
      <c r="N191" s="29" cm="1">
        <f t="array" ref="N191">IF($E191="",10^9,$E191)</f>
        <v>1000000000</v>
      </c>
      <c r="O191" t="str" s="30" cm="1">
        <f t="array" ref="O191">IF($E191="","",SUM($E$11:$E191))</f>
      </c>
      <c r="P191" t="str" s="30" cm="1">
        <f t="array" ref="P191">IF($E191="","",($D$6/$D$7+$O191)/COUNT($E$11:$E191))</f>
      </c>
      <c r="Q191" s="29" cm="1">
        <f t="array" ref="Q191">IF($E191="",0,IF(AND($E191&lt;$P191,OR($E192="",$P191&lt;=$E192)),1,0))</f>
        <v>0</v>
      </c>
      <c r="R191" s="27" cm="1">
        <f t="array" ref="R191">IF($V$4=0,"",ROUND($V$4,1)-10+(191-11)*0.1)</f>
        <v>3163.2</v>
      </c>
      <c r="S191" s="28">
        <v>5000</v>
      </c>
      <c r="T191" t="str" s="30" cm="1">
        <f t="array" ref="T191">IF($E191="","",ROUND($G191/$D$8,0)*$D$8)</f>
      </c>
      <c r="U191" s="14"/>
      <c r="V191" s="8"/>
    </row>
    <row r="192" ht="13.55" customHeight="1">
      <c r="A192" t="str" s="30" cm="1">
        <f t="array" ref="A192">IF($E192="","",COUNT($E$11:$E192))</f>
      </c>
      <c r="B192" s="39"/>
      <c r="C192" s="39"/>
      <c r="D192" s="39"/>
      <c r="E192" t="str" s="30" cm="1">
        <f t="array" ref="E192">IF($D192="","",_xlfn.IFERROR(IF($I192=-1,IF($D192&lt;0.5,$D192*86400,IF($D192&lt;100,$D192*1440,$D192)),IF($I192=2,VALUE(LEFT($D192,$J192-1))*3600+VALUE(MID($D192,$J192+1,$K192-$J192-1))*60,IF($I192=1,VALUE(LEFT($D192,$J192-1))*60,0))+IF($M192=0,VALUE($L192),VALUE(LEFT($L192,$M192-1))+VALUE(MID($L192,$M192+1,10))/10^(LEN($L192)-$M192))),""))</f>
      </c>
      <c r="F192" t="str" s="30" cm="1">
        <f t="array" ref="F192">IF($E192="","",MAX(0,$I$7-$E192))</f>
      </c>
      <c r="G192" t="str" s="30" cm="1">
        <f t="array" ref="G192">IF($E192="","",$F192*$D$7)</f>
      </c>
      <c r="H192" t="str" s="30" cm="1">
        <f t="array" ref="H192">IF($E192="","",$T192+IF(AND($V$6&gt;=$D$8,COUNT($E$11:$E192)=$V$7+1),$D$8,0))</f>
      </c>
      <c r="I192" t="str" s="30" cm="1">
        <f t="array" ref="I192">IF($D192="","",IF(ISTEXT($D192),LEN($D192)-LEN(SUBSTITUTE($D192,":","")),-1))</f>
      </c>
      <c r="J192" s="29" cm="1">
        <f t="array" ref="J192">_xlfn.IFERROR(FIND(":",$D192),0)</f>
        <v>0</v>
      </c>
      <c r="K192" s="29" cm="1">
        <f t="array" ref="K192">_xlfn.IFERROR(FIND(":",$D192,$J192+1),0)</f>
        <v>0</v>
      </c>
      <c r="L192" t="str" s="30" cm="1">
        <f t="array" ref="L192">IF($D192="","",IF($I192=2,MID($D192,$K192+1,10),IF($I192=1,MID($D192,$J192+1,10),IF($I192=0,$D192,""))))</f>
      </c>
      <c r="M192" s="29" cm="1">
        <f t="array" ref="M192">IF($L192="",0,_xlfn.IFERROR(FIND(".",SUBSTITUTE($L192,",",".")),0))</f>
        <v>0</v>
      </c>
      <c r="N192" s="29" cm="1">
        <f t="array" ref="N192">IF($E192="",10^9,$E192)</f>
        <v>1000000000</v>
      </c>
      <c r="O192" t="str" s="30" cm="1">
        <f t="array" ref="O192">IF($E192="","",SUM($E$11:$E192))</f>
      </c>
      <c r="P192" t="str" s="30" cm="1">
        <f t="array" ref="P192">IF($E192="","",($D$6/$D$7+$O192)/COUNT($E$11:$E192))</f>
      </c>
      <c r="Q192" s="29" cm="1">
        <f t="array" ref="Q192">IF($E192="",0,IF(AND($E192&lt;$P192,OR($E193="",$P192&lt;=$E193)),1,0))</f>
        <v>0</v>
      </c>
      <c r="R192" s="27" cm="1">
        <f t="array" ref="R192">IF($V$4=0,"",ROUND($V$4,1)-10+(192-11)*0.1)</f>
        <v>3163.3</v>
      </c>
      <c r="S192" s="28">
        <v>5000</v>
      </c>
      <c r="T192" t="str" s="30" cm="1">
        <f t="array" ref="T192">IF($E192="","",ROUND($G192/$D$8,0)*$D$8)</f>
      </c>
      <c r="U192" s="14"/>
      <c r="V192" s="8"/>
    </row>
    <row r="193" ht="13.55" customHeight="1">
      <c r="A193" t="str" s="30" cm="1">
        <f t="array" ref="A193">IF($E193="","",COUNT($E$11:$E193))</f>
      </c>
      <c r="B193" s="39"/>
      <c r="C193" s="39"/>
      <c r="D193" s="39"/>
      <c r="E193" t="str" s="30" cm="1">
        <f t="array" ref="E193">IF($D193="","",_xlfn.IFERROR(IF($I193=-1,IF($D193&lt;0.5,$D193*86400,IF($D193&lt;100,$D193*1440,$D193)),IF($I193=2,VALUE(LEFT($D193,$J193-1))*3600+VALUE(MID($D193,$J193+1,$K193-$J193-1))*60,IF($I193=1,VALUE(LEFT($D193,$J193-1))*60,0))+IF($M193=0,VALUE($L193),VALUE(LEFT($L193,$M193-1))+VALUE(MID($L193,$M193+1,10))/10^(LEN($L193)-$M193))),""))</f>
      </c>
      <c r="F193" t="str" s="30" cm="1">
        <f t="array" ref="F193">IF($E193="","",MAX(0,$I$7-$E193))</f>
      </c>
      <c r="G193" t="str" s="30" cm="1">
        <f t="array" ref="G193">IF($E193="","",$F193*$D$7)</f>
      </c>
      <c r="H193" t="str" s="30" cm="1">
        <f t="array" ref="H193">IF($E193="","",$T193+IF(AND($V$6&gt;=$D$8,COUNT($E$11:$E193)=$V$7+1),$D$8,0))</f>
      </c>
      <c r="I193" t="str" s="30" cm="1">
        <f t="array" ref="I193">IF($D193="","",IF(ISTEXT($D193),LEN($D193)-LEN(SUBSTITUTE($D193,":","")),-1))</f>
      </c>
      <c r="J193" s="29" cm="1">
        <f t="array" ref="J193">_xlfn.IFERROR(FIND(":",$D193),0)</f>
        <v>0</v>
      </c>
      <c r="K193" s="29" cm="1">
        <f t="array" ref="K193">_xlfn.IFERROR(FIND(":",$D193,$J193+1),0)</f>
        <v>0</v>
      </c>
      <c r="L193" t="str" s="30" cm="1">
        <f t="array" ref="L193">IF($D193="","",IF($I193=2,MID($D193,$K193+1,10),IF($I193=1,MID($D193,$J193+1,10),IF($I193=0,$D193,""))))</f>
      </c>
      <c r="M193" s="29" cm="1">
        <f t="array" ref="M193">IF($L193="",0,_xlfn.IFERROR(FIND(".",SUBSTITUTE($L193,",",".")),0))</f>
        <v>0</v>
      </c>
      <c r="N193" s="29" cm="1">
        <f t="array" ref="N193">IF($E193="",10^9,$E193)</f>
        <v>1000000000</v>
      </c>
      <c r="O193" t="str" s="30" cm="1">
        <f t="array" ref="O193">IF($E193="","",SUM($E$11:$E193))</f>
      </c>
      <c r="P193" t="str" s="30" cm="1">
        <f t="array" ref="P193">IF($E193="","",($D$6/$D$7+$O193)/COUNT($E$11:$E193))</f>
      </c>
      <c r="Q193" s="29" cm="1">
        <f t="array" ref="Q193">IF($E193="",0,IF(AND($E193&lt;$P193,OR($E194="",$P193&lt;=$E194)),1,0))</f>
        <v>0</v>
      </c>
      <c r="R193" s="27" cm="1">
        <f t="array" ref="R193">IF($V$4=0,"",ROUND($V$4,1)-10+(193-11)*0.1)</f>
        <v>3163.4</v>
      </c>
      <c r="S193" s="28">
        <v>5000</v>
      </c>
      <c r="T193" t="str" s="30" cm="1">
        <f t="array" ref="T193">IF($E193="","",ROUND($G193/$D$8,0)*$D$8)</f>
      </c>
      <c r="U193" s="14"/>
      <c r="V193" s="8"/>
    </row>
    <row r="194" ht="13.55" customHeight="1">
      <c r="A194" t="str" s="30" cm="1">
        <f t="array" ref="A194">IF($E194="","",COUNT($E$11:$E194))</f>
      </c>
      <c r="B194" s="39"/>
      <c r="C194" s="39"/>
      <c r="D194" s="39"/>
      <c r="E194" t="str" s="30" cm="1">
        <f t="array" ref="E194">IF($D194="","",_xlfn.IFERROR(IF($I194=-1,IF($D194&lt;0.5,$D194*86400,IF($D194&lt;100,$D194*1440,$D194)),IF($I194=2,VALUE(LEFT($D194,$J194-1))*3600+VALUE(MID($D194,$J194+1,$K194-$J194-1))*60,IF($I194=1,VALUE(LEFT($D194,$J194-1))*60,0))+IF($M194=0,VALUE($L194),VALUE(LEFT($L194,$M194-1))+VALUE(MID($L194,$M194+1,10))/10^(LEN($L194)-$M194))),""))</f>
      </c>
      <c r="F194" t="str" s="30" cm="1">
        <f t="array" ref="F194">IF($E194="","",MAX(0,$I$7-$E194))</f>
      </c>
      <c r="G194" t="str" s="30" cm="1">
        <f t="array" ref="G194">IF($E194="","",$F194*$D$7)</f>
      </c>
      <c r="H194" t="str" s="30" cm="1">
        <f t="array" ref="H194">IF($E194="","",$T194+IF(AND($V$6&gt;=$D$8,COUNT($E$11:$E194)=$V$7+1),$D$8,0))</f>
      </c>
      <c r="I194" t="str" s="30" cm="1">
        <f t="array" ref="I194">IF($D194="","",IF(ISTEXT($D194),LEN($D194)-LEN(SUBSTITUTE($D194,":","")),-1))</f>
      </c>
      <c r="J194" s="29" cm="1">
        <f t="array" ref="J194">_xlfn.IFERROR(FIND(":",$D194),0)</f>
        <v>0</v>
      </c>
      <c r="K194" s="29" cm="1">
        <f t="array" ref="K194">_xlfn.IFERROR(FIND(":",$D194,$J194+1),0)</f>
        <v>0</v>
      </c>
      <c r="L194" t="str" s="30" cm="1">
        <f t="array" ref="L194">IF($D194="","",IF($I194=2,MID($D194,$K194+1,10),IF($I194=1,MID($D194,$J194+1,10),IF($I194=0,$D194,""))))</f>
      </c>
      <c r="M194" s="29" cm="1">
        <f t="array" ref="M194">IF($L194="",0,_xlfn.IFERROR(FIND(".",SUBSTITUTE($L194,",",".")),0))</f>
        <v>0</v>
      </c>
      <c r="N194" s="29" cm="1">
        <f t="array" ref="N194">IF($E194="",10^9,$E194)</f>
        <v>1000000000</v>
      </c>
      <c r="O194" t="str" s="30" cm="1">
        <f t="array" ref="O194">IF($E194="","",SUM($E$11:$E194))</f>
      </c>
      <c r="P194" t="str" s="30" cm="1">
        <f t="array" ref="P194">IF($E194="","",($D$6/$D$7+$O194)/COUNT($E$11:$E194))</f>
      </c>
      <c r="Q194" s="29" cm="1">
        <f t="array" ref="Q194">IF($E194="",0,IF(AND($E194&lt;$P194,OR($E195="",$P194&lt;=$E195)),1,0))</f>
        <v>0</v>
      </c>
      <c r="R194" s="27" cm="1">
        <f t="array" ref="R194">IF($V$4=0,"",ROUND($V$4,1)-10+(194-11)*0.1)</f>
        <v>3163.5</v>
      </c>
      <c r="S194" s="28">
        <v>5000</v>
      </c>
      <c r="T194" t="str" s="30" cm="1">
        <f t="array" ref="T194">IF($E194="","",ROUND($G194/$D$8,0)*$D$8)</f>
      </c>
      <c r="U194" s="14"/>
      <c r="V194" s="8"/>
    </row>
    <row r="195" ht="13.55" customHeight="1">
      <c r="A195" t="str" s="30" cm="1">
        <f t="array" ref="A195">IF($E195="","",COUNT($E$11:$E195))</f>
      </c>
      <c r="B195" s="39"/>
      <c r="C195" s="39"/>
      <c r="D195" s="39"/>
      <c r="E195" t="str" s="30" cm="1">
        <f t="array" ref="E195">IF($D195="","",_xlfn.IFERROR(IF($I195=-1,IF($D195&lt;0.5,$D195*86400,IF($D195&lt;100,$D195*1440,$D195)),IF($I195=2,VALUE(LEFT($D195,$J195-1))*3600+VALUE(MID($D195,$J195+1,$K195-$J195-1))*60,IF($I195=1,VALUE(LEFT($D195,$J195-1))*60,0))+IF($M195=0,VALUE($L195),VALUE(LEFT($L195,$M195-1))+VALUE(MID($L195,$M195+1,10))/10^(LEN($L195)-$M195))),""))</f>
      </c>
      <c r="F195" t="str" s="30" cm="1">
        <f t="array" ref="F195">IF($E195="","",MAX(0,$I$7-$E195))</f>
      </c>
      <c r="G195" t="str" s="30" cm="1">
        <f t="array" ref="G195">IF($E195="","",$F195*$D$7)</f>
      </c>
      <c r="H195" t="str" s="30" cm="1">
        <f t="array" ref="H195">IF($E195="","",$T195+IF(AND($V$6&gt;=$D$8,COUNT($E$11:$E195)=$V$7+1),$D$8,0))</f>
      </c>
      <c r="I195" t="str" s="30" cm="1">
        <f t="array" ref="I195">IF($D195="","",IF(ISTEXT($D195),LEN($D195)-LEN(SUBSTITUTE($D195,":","")),-1))</f>
      </c>
      <c r="J195" s="29" cm="1">
        <f t="array" ref="J195">_xlfn.IFERROR(FIND(":",$D195),0)</f>
        <v>0</v>
      </c>
      <c r="K195" s="29" cm="1">
        <f t="array" ref="K195">_xlfn.IFERROR(FIND(":",$D195,$J195+1),0)</f>
        <v>0</v>
      </c>
      <c r="L195" t="str" s="30" cm="1">
        <f t="array" ref="L195">IF($D195="","",IF($I195=2,MID($D195,$K195+1,10),IF($I195=1,MID($D195,$J195+1,10),IF($I195=0,$D195,""))))</f>
      </c>
      <c r="M195" s="29" cm="1">
        <f t="array" ref="M195">IF($L195="",0,_xlfn.IFERROR(FIND(".",SUBSTITUTE($L195,",",".")),0))</f>
        <v>0</v>
      </c>
      <c r="N195" s="29" cm="1">
        <f t="array" ref="N195">IF($E195="",10^9,$E195)</f>
        <v>1000000000</v>
      </c>
      <c r="O195" t="str" s="30" cm="1">
        <f t="array" ref="O195">IF($E195="","",SUM($E$11:$E195))</f>
      </c>
      <c r="P195" t="str" s="30" cm="1">
        <f t="array" ref="P195">IF($E195="","",($D$6/$D$7+$O195)/COUNT($E$11:$E195))</f>
      </c>
      <c r="Q195" s="29" cm="1">
        <f t="array" ref="Q195">IF($E195="",0,IF(AND($E195&lt;$P195,OR($E196="",$P195&lt;=$E196)),1,0))</f>
        <v>0</v>
      </c>
      <c r="R195" s="27" cm="1">
        <f t="array" ref="R195">IF($V$4=0,"",ROUND($V$4,1)-10+(195-11)*0.1)</f>
        <v>3163.6</v>
      </c>
      <c r="S195" s="28">
        <v>5000</v>
      </c>
      <c r="T195" t="str" s="30" cm="1">
        <f t="array" ref="T195">IF($E195="","",ROUND($G195/$D$8,0)*$D$8)</f>
      </c>
      <c r="U195" s="14"/>
      <c r="V195" s="8"/>
    </row>
    <row r="196" ht="13.55" customHeight="1">
      <c r="A196" t="str" s="30" cm="1">
        <f t="array" ref="A196">IF($E196="","",COUNT($E$11:$E196))</f>
      </c>
      <c r="B196" s="39"/>
      <c r="C196" s="39"/>
      <c r="D196" s="39"/>
      <c r="E196" t="str" s="30" cm="1">
        <f t="array" ref="E196">IF($D196="","",_xlfn.IFERROR(IF($I196=-1,IF($D196&lt;0.5,$D196*86400,IF($D196&lt;100,$D196*1440,$D196)),IF($I196=2,VALUE(LEFT($D196,$J196-1))*3600+VALUE(MID($D196,$J196+1,$K196-$J196-1))*60,IF($I196=1,VALUE(LEFT($D196,$J196-1))*60,0))+IF($M196=0,VALUE($L196),VALUE(LEFT($L196,$M196-1))+VALUE(MID($L196,$M196+1,10))/10^(LEN($L196)-$M196))),""))</f>
      </c>
      <c r="F196" t="str" s="30" cm="1">
        <f t="array" ref="F196">IF($E196="","",MAX(0,$I$7-$E196))</f>
      </c>
      <c r="G196" t="str" s="30" cm="1">
        <f t="array" ref="G196">IF($E196="","",$F196*$D$7)</f>
      </c>
      <c r="H196" t="str" s="30" cm="1">
        <f t="array" ref="H196">IF($E196="","",$T196+IF(AND($V$6&gt;=$D$8,COUNT($E$11:$E196)=$V$7+1),$D$8,0))</f>
      </c>
      <c r="I196" t="str" s="30" cm="1">
        <f t="array" ref="I196">IF($D196="","",IF(ISTEXT($D196),LEN($D196)-LEN(SUBSTITUTE($D196,":","")),-1))</f>
      </c>
      <c r="J196" s="29" cm="1">
        <f t="array" ref="J196">_xlfn.IFERROR(FIND(":",$D196),0)</f>
        <v>0</v>
      </c>
      <c r="K196" s="29" cm="1">
        <f t="array" ref="K196">_xlfn.IFERROR(FIND(":",$D196,$J196+1),0)</f>
        <v>0</v>
      </c>
      <c r="L196" t="str" s="30" cm="1">
        <f t="array" ref="L196">IF($D196="","",IF($I196=2,MID($D196,$K196+1,10),IF($I196=1,MID($D196,$J196+1,10),IF($I196=0,$D196,""))))</f>
      </c>
      <c r="M196" s="29" cm="1">
        <f t="array" ref="M196">IF($L196="",0,_xlfn.IFERROR(FIND(".",SUBSTITUTE($L196,",",".")),0))</f>
        <v>0</v>
      </c>
      <c r="N196" s="29" cm="1">
        <f t="array" ref="N196">IF($E196="",10^9,$E196)</f>
        <v>1000000000</v>
      </c>
      <c r="O196" t="str" s="30" cm="1">
        <f t="array" ref="O196">IF($E196="","",SUM($E$11:$E196))</f>
      </c>
      <c r="P196" t="str" s="30" cm="1">
        <f t="array" ref="P196">IF($E196="","",($D$6/$D$7+$O196)/COUNT($E$11:$E196))</f>
      </c>
      <c r="Q196" s="29" cm="1">
        <f t="array" ref="Q196">IF($E196="",0,IF(AND($E196&lt;$P196,OR($E197="",$P196&lt;=$E197)),1,0))</f>
        <v>0</v>
      </c>
      <c r="R196" s="27" cm="1">
        <f t="array" ref="R196">IF($V$4=0,"",ROUND($V$4,1)-10+(196-11)*0.1)</f>
        <v>3163.7</v>
      </c>
      <c r="S196" s="28">
        <v>5000</v>
      </c>
      <c r="T196" t="str" s="30" cm="1">
        <f t="array" ref="T196">IF($E196="","",ROUND($G196/$D$8,0)*$D$8)</f>
      </c>
      <c r="U196" s="14"/>
      <c r="V196" s="8"/>
    </row>
    <row r="197" ht="13.55" customHeight="1">
      <c r="A197" t="str" s="30" cm="1">
        <f t="array" ref="A197">IF($E197="","",COUNT($E$11:$E197))</f>
      </c>
      <c r="B197" s="39"/>
      <c r="C197" s="39"/>
      <c r="D197" s="39"/>
      <c r="E197" t="str" s="30" cm="1">
        <f t="array" ref="E197">IF($D197="","",_xlfn.IFERROR(IF($I197=-1,IF($D197&lt;0.5,$D197*86400,IF($D197&lt;100,$D197*1440,$D197)),IF($I197=2,VALUE(LEFT($D197,$J197-1))*3600+VALUE(MID($D197,$J197+1,$K197-$J197-1))*60,IF($I197=1,VALUE(LEFT($D197,$J197-1))*60,0))+IF($M197=0,VALUE($L197),VALUE(LEFT($L197,$M197-1))+VALUE(MID($L197,$M197+1,10))/10^(LEN($L197)-$M197))),""))</f>
      </c>
      <c r="F197" t="str" s="30" cm="1">
        <f t="array" ref="F197">IF($E197="","",MAX(0,$I$7-$E197))</f>
      </c>
      <c r="G197" t="str" s="30" cm="1">
        <f t="array" ref="G197">IF($E197="","",$F197*$D$7)</f>
      </c>
      <c r="H197" t="str" s="30" cm="1">
        <f t="array" ref="H197">IF($E197="","",$T197+IF(AND($V$6&gt;=$D$8,COUNT($E$11:$E197)=$V$7+1),$D$8,0))</f>
      </c>
      <c r="I197" t="str" s="30" cm="1">
        <f t="array" ref="I197">IF($D197="","",IF(ISTEXT($D197),LEN($D197)-LEN(SUBSTITUTE($D197,":","")),-1))</f>
      </c>
      <c r="J197" s="29" cm="1">
        <f t="array" ref="J197">_xlfn.IFERROR(FIND(":",$D197),0)</f>
        <v>0</v>
      </c>
      <c r="K197" s="29" cm="1">
        <f t="array" ref="K197">_xlfn.IFERROR(FIND(":",$D197,$J197+1),0)</f>
        <v>0</v>
      </c>
      <c r="L197" t="str" s="30" cm="1">
        <f t="array" ref="L197">IF($D197="","",IF($I197=2,MID($D197,$K197+1,10),IF($I197=1,MID($D197,$J197+1,10),IF($I197=0,$D197,""))))</f>
      </c>
      <c r="M197" s="29" cm="1">
        <f t="array" ref="M197">IF($L197="",0,_xlfn.IFERROR(FIND(".",SUBSTITUTE($L197,",",".")),0))</f>
        <v>0</v>
      </c>
      <c r="N197" s="29" cm="1">
        <f t="array" ref="N197">IF($E197="",10^9,$E197)</f>
        <v>1000000000</v>
      </c>
      <c r="O197" t="str" s="30" cm="1">
        <f t="array" ref="O197">IF($E197="","",SUM($E$11:$E197))</f>
      </c>
      <c r="P197" t="str" s="30" cm="1">
        <f t="array" ref="P197">IF($E197="","",($D$6/$D$7+$O197)/COUNT($E$11:$E197))</f>
      </c>
      <c r="Q197" s="29" cm="1">
        <f t="array" ref="Q197">IF($E197="",0,IF(AND($E197&lt;$P197,OR($E198="",$P197&lt;=$E198)),1,0))</f>
        <v>0</v>
      </c>
      <c r="R197" s="27" cm="1">
        <f t="array" ref="R197">IF($V$4=0,"",ROUND($V$4,1)-10+(197-11)*0.1)</f>
        <v>3163.8</v>
      </c>
      <c r="S197" s="28">
        <v>5000</v>
      </c>
      <c r="T197" t="str" s="30" cm="1">
        <f t="array" ref="T197">IF($E197="","",ROUND($G197/$D$8,0)*$D$8)</f>
      </c>
      <c r="U197" s="14"/>
      <c r="V197" s="8"/>
    </row>
    <row r="198" ht="13.55" customHeight="1">
      <c r="A198" t="str" s="30" cm="1">
        <f t="array" ref="A198">IF($E198="","",COUNT($E$11:$E198))</f>
      </c>
      <c r="B198" s="39"/>
      <c r="C198" s="39"/>
      <c r="D198" s="39"/>
      <c r="E198" t="str" s="30" cm="1">
        <f t="array" ref="E198">IF($D198="","",_xlfn.IFERROR(IF($I198=-1,IF($D198&lt;0.5,$D198*86400,IF($D198&lt;100,$D198*1440,$D198)),IF($I198=2,VALUE(LEFT($D198,$J198-1))*3600+VALUE(MID($D198,$J198+1,$K198-$J198-1))*60,IF($I198=1,VALUE(LEFT($D198,$J198-1))*60,0))+IF($M198=0,VALUE($L198),VALUE(LEFT($L198,$M198-1))+VALUE(MID($L198,$M198+1,10))/10^(LEN($L198)-$M198))),""))</f>
      </c>
      <c r="F198" t="str" s="30" cm="1">
        <f t="array" ref="F198">IF($E198="","",MAX(0,$I$7-$E198))</f>
      </c>
      <c r="G198" t="str" s="30" cm="1">
        <f t="array" ref="G198">IF($E198="","",$F198*$D$7)</f>
      </c>
      <c r="H198" t="str" s="30" cm="1">
        <f t="array" ref="H198">IF($E198="","",$T198+IF(AND($V$6&gt;=$D$8,COUNT($E$11:$E198)=$V$7+1),$D$8,0))</f>
      </c>
      <c r="I198" t="str" s="30" cm="1">
        <f t="array" ref="I198">IF($D198="","",IF(ISTEXT($D198),LEN($D198)-LEN(SUBSTITUTE($D198,":","")),-1))</f>
      </c>
      <c r="J198" s="29" cm="1">
        <f t="array" ref="J198">_xlfn.IFERROR(FIND(":",$D198),0)</f>
        <v>0</v>
      </c>
      <c r="K198" s="29" cm="1">
        <f t="array" ref="K198">_xlfn.IFERROR(FIND(":",$D198,$J198+1),0)</f>
        <v>0</v>
      </c>
      <c r="L198" t="str" s="30" cm="1">
        <f t="array" ref="L198">IF($D198="","",IF($I198=2,MID($D198,$K198+1,10),IF($I198=1,MID($D198,$J198+1,10),IF($I198=0,$D198,""))))</f>
      </c>
      <c r="M198" s="29" cm="1">
        <f t="array" ref="M198">IF($L198="",0,_xlfn.IFERROR(FIND(".",SUBSTITUTE($L198,",",".")),0))</f>
        <v>0</v>
      </c>
      <c r="N198" s="29" cm="1">
        <f t="array" ref="N198">IF($E198="",10^9,$E198)</f>
        <v>1000000000</v>
      </c>
      <c r="O198" t="str" s="30" cm="1">
        <f t="array" ref="O198">IF($E198="","",SUM($E$11:$E198))</f>
      </c>
      <c r="P198" t="str" s="30" cm="1">
        <f t="array" ref="P198">IF($E198="","",($D$6/$D$7+$O198)/COUNT($E$11:$E198))</f>
      </c>
      <c r="Q198" s="29" cm="1">
        <f t="array" ref="Q198">IF($E198="",0,IF(AND($E198&lt;$P198,OR($E199="",$P198&lt;=$E199)),1,0))</f>
        <v>0</v>
      </c>
      <c r="R198" s="27" cm="1">
        <f t="array" ref="R198">IF($V$4=0,"",ROUND($V$4,1)-10+(198-11)*0.1)</f>
        <v>3163.9</v>
      </c>
      <c r="S198" s="28">
        <v>5000</v>
      </c>
      <c r="T198" t="str" s="30" cm="1">
        <f t="array" ref="T198">IF($E198="","",ROUND($G198/$D$8,0)*$D$8)</f>
      </c>
      <c r="U198" s="14"/>
      <c r="V198" s="8"/>
    </row>
    <row r="199" ht="13.55" customHeight="1">
      <c r="A199" t="str" s="30" cm="1">
        <f t="array" ref="A199">IF($E199="","",COUNT($E$11:$E199))</f>
      </c>
      <c r="B199" s="39"/>
      <c r="C199" s="39"/>
      <c r="D199" s="39"/>
      <c r="E199" t="str" s="30" cm="1">
        <f t="array" ref="E199">IF($D199="","",_xlfn.IFERROR(IF($I199=-1,IF($D199&lt;0.5,$D199*86400,IF($D199&lt;100,$D199*1440,$D199)),IF($I199=2,VALUE(LEFT($D199,$J199-1))*3600+VALUE(MID($D199,$J199+1,$K199-$J199-1))*60,IF($I199=1,VALUE(LEFT($D199,$J199-1))*60,0))+IF($M199=0,VALUE($L199),VALUE(LEFT($L199,$M199-1))+VALUE(MID($L199,$M199+1,10))/10^(LEN($L199)-$M199))),""))</f>
      </c>
      <c r="F199" t="str" s="30" cm="1">
        <f t="array" ref="F199">IF($E199="","",MAX(0,$I$7-$E199))</f>
      </c>
      <c r="G199" t="str" s="30" cm="1">
        <f t="array" ref="G199">IF($E199="","",$F199*$D$7)</f>
      </c>
      <c r="H199" t="str" s="30" cm="1">
        <f t="array" ref="H199">IF($E199="","",$T199+IF(AND($V$6&gt;=$D$8,COUNT($E$11:$E199)=$V$7+1),$D$8,0))</f>
      </c>
      <c r="I199" t="str" s="30" cm="1">
        <f t="array" ref="I199">IF($D199="","",IF(ISTEXT($D199),LEN($D199)-LEN(SUBSTITUTE($D199,":","")),-1))</f>
      </c>
      <c r="J199" s="29" cm="1">
        <f t="array" ref="J199">_xlfn.IFERROR(FIND(":",$D199),0)</f>
        <v>0</v>
      </c>
      <c r="K199" s="29" cm="1">
        <f t="array" ref="K199">_xlfn.IFERROR(FIND(":",$D199,$J199+1),0)</f>
        <v>0</v>
      </c>
      <c r="L199" t="str" s="30" cm="1">
        <f t="array" ref="L199">IF($D199="","",IF($I199=2,MID($D199,$K199+1,10),IF($I199=1,MID($D199,$J199+1,10),IF($I199=0,$D199,""))))</f>
      </c>
      <c r="M199" s="29" cm="1">
        <f t="array" ref="M199">IF($L199="",0,_xlfn.IFERROR(FIND(".",SUBSTITUTE($L199,",",".")),0))</f>
        <v>0</v>
      </c>
      <c r="N199" s="29" cm="1">
        <f t="array" ref="N199">IF($E199="",10^9,$E199)</f>
        <v>1000000000</v>
      </c>
      <c r="O199" t="str" s="30" cm="1">
        <f t="array" ref="O199">IF($E199="","",SUM($E$11:$E199))</f>
      </c>
      <c r="P199" t="str" s="30" cm="1">
        <f t="array" ref="P199">IF($E199="","",($D$6/$D$7+$O199)/COUNT($E$11:$E199))</f>
      </c>
      <c r="Q199" s="29" cm="1">
        <f t="array" ref="Q199">IF($E199="",0,IF(AND($E199&lt;$P199,OR($E200="",$P199&lt;=$E200)),1,0))</f>
        <v>0</v>
      </c>
      <c r="R199" s="27" cm="1">
        <f t="array" ref="R199">IF($V$4=0,"",ROUND($V$4,1)-10+(199-11)*0.1)</f>
        <v>3164</v>
      </c>
      <c r="S199" s="28">
        <v>5000</v>
      </c>
      <c r="T199" t="str" s="30" cm="1">
        <f t="array" ref="T199">IF($E199="","",ROUND($G199/$D$8,0)*$D$8)</f>
      </c>
      <c r="U199" s="14"/>
      <c r="V199" s="8"/>
    </row>
    <row r="200" ht="13.55" customHeight="1">
      <c r="A200" t="str" s="30" cm="1">
        <f t="array" ref="A200">IF($E200="","",COUNT($E$11:$E200))</f>
      </c>
      <c r="B200" s="39"/>
      <c r="C200" s="39"/>
      <c r="D200" s="39"/>
      <c r="E200" t="str" s="30" cm="1">
        <f t="array" ref="E200">IF($D200="","",_xlfn.IFERROR(IF($I200=-1,IF($D200&lt;0.5,$D200*86400,IF($D200&lt;100,$D200*1440,$D200)),IF($I200=2,VALUE(LEFT($D200,$J200-1))*3600+VALUE(MID($D200,$J200+1,$K200-$J200-1))*60,IF($I200=1,VALUE(LEFT($D200,$J200-1))*60,0))+IF($M200=0,VALUE($L200),VALUE(LEFT($L200,$M200-1))+VALUE(MID($L200,$M200+1,10))/10^(LEN($L200)-$M200))),""))</f>
      </c>
      <c r="F200" t="str" s="30" cm="1">
        <f t="array" ref="F200">IF($E200="","",MAX(0,$I$7-$E200))</f>
      </c>
      <c r="G200" t="str" s="30" cm="1">
        <f t="array" ref="G200">IF($E200="","",$F200*$D$7)</f>
      </c>
      <c r="H200" t="str" s="30" cm="1">
        <f t="array" ref="H200">IF($E200="","",$T200+IF(AND($V$6&gt;=$D$8,COUNT($E$11:$E200)=$V$7+1),$D$8,0))</f>
      </c>
      <c r="I200" t="str" s="30" cm="1">
        <f t="array" ref="I200">IF($D200="","",IF(ISTEXT($D200),LEN($D200)-LEN(SUBSTITUTE($D200,":","")),-1))</f>
      </c>
      <c r="J200" s="29" cm="1">
        <f t="array" ref="J200">_xlfn.IFERROR(FIND(":",$D200),0)</f>
        <v>0</v>
      </c>
      <c r="K200" s="29" cm="1">
        <f t="array" ref="K200">_xlfn.IFERROR(FIND(":",$D200,$J200+1),0)</f>
        <v>0</v>
      </c>
      <c r="L200" t="str" s="30" cm="1">
        <f t="array" ref="L200">IF($D200="","",IF($I200=2,MID($D200,$K200+1,10),IF($I200=1,MID($D200,$J200+1,10),IF($I200=0,$D200,""))))</f>
      </c>
      <c r="M200" s="29" cm="1">
        <f t="array" ref="M200">IF($L200="",0,_xlfn.IFERROR(FIND(".",SUBSTITUTE($L200,",",".")),0))</f>
        <v>0</v>
      </c>
      <c r="N200" s="29" cm="1">
        <f t="array" ref="N200">IF($E200="",10^9,$E200)</f>
        <v>1000000000</v>
      </c>
      <c r="O200" t="str" s="30" cm="1">
        <f t="array" ref="O200">IF($E200="","",SUM($E$11:$E200))</f>
      </c>
      <c r="P200" t="str" s="30" cm="1">
        <f t="array" ref="P200">IF($E200="","",($D$6/$D$7+$O200)/COUNT($E$11:$E200))</f>
      </c>
      <c r="Q200" s="29" cm="1">
        <f t="array" ref="Q200">IF($E200="",0,IF(AND($E200&lt;$P200,OR($E201="",$P200&lt;=$E201)),1,0))</f>
        <v>0</v>
      </c>
      <c r="R200" s="27" cm="1">
        <f t="array" ref="R200">IF($V$4=0,"",ROUND($V$4,1)-10+(200-11)*0.1)</f>
        <v>3164.1</v>
      </c>
      <c r="S200" s="28">
        <v>5000</v>
      </c>
      <c r="T200" t="str" s="30" cm="1">
        <f t="array" ref="T200">IF($E200="","",ROUND($G200/$D$8,0)*$D$8)</f>
      </c>
      <c r="U200" s="14"/>
      <c r="V200" s="8"/>
    </row>
    <row r="201" ht="13.55" customHeight="1">
      <c r="A201" t="str" s="30" cm="1">
        <f t="array" ref="A201">IF($E201="","",COUNT($E$11:$E201))</f>
      </c>
      <c r="B201" s="39"/>
      <c r="C201" s="39"/>
      <c r="D201" s="39"/>
      <c r="E201" t="str" s="30" cm="1">
        <f t="array" ref="E201">IF($D201="","",_xlfn.IFERROR(IF($I201=-1,IF($D201&lt;0.5,$D201*86400,IF($D201&lt;100,$D201*1440,$D201)),IF($I201=2,VALUE(LEFT($D201,$J201-1))*3600+VALUE(MID($D201,$J201+1,$K201-$J201-1))*60,IF($I201=1,VALUE(LEFT($D201,$J201-1))*60,0))+IF($M201=0,VALUE($L201),VALUE(LEFT($L201,$M201-1))+VALUE(MID($L201,$M201+1,10))/10^(LEN($L201)-$M201))),""))</f>
      </c>
      <c r="F201" t="str" s="30" cm="1">
        <f t="array" ref="F201">IF($E201="","",MAX(0,$I$7-$E201))</f>
      </c>
      <c r="G201" t="str" s="30" cm="1">
        <f t="array" ref="G201">IF($E201="","",$F201*$D$7)</f>
      </c>
      <c r="H201" t="str" s="30" cm="1">
        <f t="array" ref="H201">IF($E201="","",$T201+IF(AND($V$6&gt;=$D$8,COUNT($E$11:$E201)=$V$7+1),$D$8,0))</f>
      </c>
      <c r="I201" t="str" s="30" cm="1">
        <f t="array" ref="I201">IF($D201="","",IF(ISTEXT($D201),LEN($D201)-LEN(SUBSTITUTE($D201,":","")),-1))</f>
      </c>
      <c r="J201" s="29" cm="1">
        <f t="array" ref="J201">_xlfn.IFERROR(FIND(":",$D201),0)</f>
        <v>0</v>
      </c>
      <c r="K201" s="29" cm="1">
        <f t="array" ref="K201">_xlfn.IFERROR(FIND(":",$D201,$J201+1),0)</f>
        <v>0</v>
      </c>
      <c r="L201" t="str" s="30" cm="1">
        <f t="array" ref="L201">IF($D201="","",IF($I201=2,MID($D201,$K201+1,10),IF($I201=1,MID($D201,$J201+1,10),IF($I201=0,$D201,""))))</f>
      </c>
      <c r="M201" s="29" cm="1">
        <f t="array" ref="M201">IF($L201="",0,_xlfn.IFERROR(FIND(".",SUBSTITUTE($L201,",",".")),0))</f>
        <v>0</v>
      </c>
      <c r="N201" s="29" cm="1">
        <f t="array" ref="N201">IF($E201="",10^9,$E201)</f>
        <v>1000000000</v>
      </c>
      <c r="O201" t="str" s="30" cm="1">
        <f t="array" ref="O201">IF($E201="","",SUM($E$11:$E201))</f>
      </c>
      <c r="P201" t="str" s="30" cm="1">
        <f t="array" ref="P201">IF($E201="","",($D$6/$D$7+$O201)/COUNT($E$11:$E201))</f>
      </c>
      <c r="Q201" s="29" cm="1">
        <f t="array" ref="Q201">IF($E201="",0,IF(AND($E201&lt;$P201,OR($E202="",$P201&lt;=$E202)),1,0))</f>
        <v>0</v>
      </c>
      <c r="R201" s="27" cm="1">
        <f t="array" ref="R201">IF($V$4=0,"",ROUND($V$4,1)-10+(201-11)*0.1)</f>
        <v>3164.2</v>
      </c>
      <c r="S201" s="28">
        <v>5000</v>
      </c>
      <c r="T201" t="str" s="30" cm="1">
        <f t="array" ref="T201">IF($E201="","",ROUND($G201/$D$8,0)*$D$8)</f>
      </c>
      <c r="U201" s="14"/>
      <c r="V201" s="8"/>
    </row>
    <row r="202" ht="13.55" customHeight="1">
      <c r="A202" t="str" s="30" cm="1">
        <f t="array" ref="A202">IF($E202="","",COUNT($E$11:$E202))</f>
      </c>
      <c r="B202" s="39"/>
      <c r="C202" s="39"/>
      <c r="D202" s="39"/>
      <c r="E202" t="str" s="30" cm="1">
        <f t="array" ref="E202">IF($D202="","",_xlfn.IFERROR(IF($I202=-1,IF($D202&lt;0.5,$D202*86400,IF($D202&lt;100,$D202*1440,$D202)),IF($I202=2,VALUE(LEFT($D202,$J202-1))*3600+VALUE(MID($D202,$J202+1,$K202-$J202-1))*60,IF($I202=1,VALUE(LEFT($D202,$J202-1))*60,0))+IF($M202=0,VALUE($L202),VALUE(LEFT($L202,$M202-1))+VALUE(MID($L202,$M202+1,10))/10^(LEN($L202)-$M202))),""))</f>
      </c>
      <c r="F202" t="str" s="30" cm="1">
        <f t="array" ref="F202">IF($E202="","",MAX(0,$I$7-$E202))</f>
      </c>
      <c r="G202" t="str" s="30" cm="1">
        <f t="array" ref="G202">IF($E202="","",$F202*$D$7)</f>
      </c>
      <c r="H202" t="str" s="30" cm="1">
        <f t="array" ref="H202">IF($E202="","",$T202+IF(AND($V$6&gt;=$D$8,COUNT($E$11:$E202)=$V$7+1),$D$8,0))</f>
      </c>
      <c r="I202" t="str" s="30" cm="1">
        <f t="array" ref="I202">IF($D202="","",IF(ISTEXT($D202),LEN($D202)-LEN(SUBSTITUTE($D202,":","")),-1))</f>
      </c>
      <c r="J202" s="29" cm="1">
        <f t="array" ref="J202">_xlfn.IFERROR(FIND(":",$D202),0)</f>
        <v>0</v>
      </c>
      <c r="K202" s="29" cm="1">
        <f t="array" ref="K202">_xlfn.IFERROR(FIND(":",$D202,$J202+1),0)</f>
        <v>0</v>
      </c>
      <c r="L202" t="str" s="30" cm="1">
        <f t="array" ref="L202">IF($D202="","",IF($I202=2,MID($D202,$K202+1,10),IF($I202=1,MID($D202,$J202+1,10),IF($I202=0,$D202,""))))</f>
      </c>
      <c r="M202" s="29" cm="1">
        <f t="array" ref="M202">IF($L202="",0,_xlfn.IFERROR(FIND(".",SUBSTITUTE($L202,",",".")),0))</f>
        <v>0</v>
      </c>
      <c r="N202" s="29" cm="1">
        <f t="array" ref="N202">IF($E202="",10^9,$E202)</f>
        <v>1000000000</v>
      </c>
      <c r="O202" t="str" s="30" cm="1">
        <f t="array" ref="O202">IF($E202="","",SUM($E$11:$E202))</f>
      </c>
      <c r="P202" t="str" s="30" cm="1">
        <f t="array" ref="P202">IF($E202="","",($D$6/$D$7+$O202)/COUNT($E$11:$E202))</f>
      </c>
      <c r="Q202" s="29" cm="1">
        <f t="array" ref="Q202">IF($E202="",0,IF(AND($E202&lt;$P202,OR($E203="",$P202&lt;=$E203)),1,0))</f>
        <v>0</v>
      </c>
      <c r="R202" s="27" cm="1">
        <f t="array" ref="R202">IF($V$4=0,"",ROUND($V$4,1)-10+(202-11)*0.1)</f>
        <v>3164.3</v>
      </c>
      <c r="S202" s="28">
        <v>5000</v>
      </c>
      <c r="T202" t="str" s="30" cm="1">
        <f t="array" ref="T202">IF($E202="","",ROUND($G202/$D$8,0)*$D$8)</f>
      </c>
      <c r="U202" s="14"/>
      <c r="V202" s="8"/>
    </row>
    <row r="203" ht="13.55" customHeight="1">
      <c r="A203" t="str" s="30" cm="1">
        <f t="array" ref="A203">IF($E203="","",COUNT($E$11:$E203))</f>
      </c>
      <c r="B203" s="39"/>
      <c r="C203" s="39"/>
      <c r="D203" s="39"/>
      <c r="E203" t="str" s="30" cm="1">
        <f t="array" ref="E203">IF($D203="","",_xlfn.IFERROR(IF($I203=-1,IF($D203&lt;0.5,$D203*86400,IF($D203&lt;100,$D203*1440,$D203)),IF($I203=2,VALUE(LEFT($D203,$J203-1))*3600+VALUE(MID($D203,$J203+1,$K203-$J203-1))*60,IF($I203=1,VALUE(LEFT($D203,$J203-1))*60,0))+IF($M203=0,VALUE($L203),VALUE(LEFT($L203,$M203-1))+VALUE(MID($L203,$M203+1,10))/10^(LEN($L203)-$M203))),""))</f>
      </c>
      <c r="F203" t="str" s="30" cm="1">
        <f t="array" ref="F203">IF($E203="","",MAX(0,$I$7-$E203))</f>
      </c>
      <c r="G203" t="str" s="30" cm="1">
        <f t="array" ref="G203">IF($E203="","",$F203*$D$7)</f>
      </c>
      <c r="H203" t="str" s="30" cm="1">
        <f t="array" ref="H203">IF($E203="","",$T203+IF(AND($V$6&gt;=$D$8,COUNT($E$11:$E203)=$V$7+1),$D$8,0))</f>
      </c>
      <c r="I203" t="str" s="30" cm="1">
        <f t="array" ref="I203">IF($D203="","",IF(ISTEXT($D203),LEN($D203)-LEN(SUBSTITUTE($D203,":","")),-1))</f>
      </c>
      <c r="J203" s="29" cm="1">
        <f t="array" ref="J203">_xlfn.IFERROR(FIND(":",$D203),0)</f>
        <v>0</v>
      </c>
      <c r="K203" s="29" cm="1">
        <f t="array" ref="K203">_xlfn.IFERROR(FIND(":",$D203,$J203+1),0)</f>
        <v>0</v>
      </c>
      <c r="L203" t="str" s="30" cm="1">
        <f t="array" ref="L203">IF($D203="","",IF($I203=2,MID($D203,$K203+1,10),IF($I203=1,MID($D203,$J203+1,10),IF($I203=0,$D203,""))))</f>
      </c>
      <c r="M203" s="29" cm="1">
        <f t="array" ref="M203">IF($L203="",0,_xlfn.IFERROR(FIND(".",SUBSTITUTE($L203,",",".")),0))</f>
        <v>0</v>
      </c>
      <c r="N203" s="29" cm="1">
        <f t="array" ref="N203">IF($E203="",10^9,$E203)</f>
        <v>1000000000</v>
      </c>
      <c r="O203" t="str" s="30" cm="1">
        <f t="array" ref="O203">IF($E203="","",SUM($E$11:$E203))</f>
      </c>
      <c r="P203" t="str" s="30" cm="1">
        <f t="array" ref="P203">IF($E203="","",($D$6/$D$7+$O203)/COUNT($E$11:$E203))</f>
      </c>
      <c r="Q203" s="29" cm="1">
        <f t="array" ref="Q203">IF($E203="",0,IF(AND($E203&lt;$P203,OR($E204="",$P203&lt;=$E204)),1,0))</f>
        <v>0</v>
      </c>
      <c r="R203" s="27" cm="1">
        <f t="array" ref="R203">IF($V$4=0,"",ROUND($V$4,1)-10+(203-11)*0.1)</f>
        <v>3164.4</v>
      </c>
      <c r="S203" s="28">
        <v>5000</v>
      </c>
      <c r="T203" t="str" s="30" cm="1">
        <f t="array" ref="T203">IF($E203="","",ROUND($G203/$D$8,0)*$D$8)</f>
      </c>
      <c r="U203" s="14"/>
      <c r="V203" s="8"/>
    </row>
    <row r="204" ht="13.55" customHeight="1">
      <c r="A204" t="str" s="30" cm="1">
        <f t="array" ref="A204">IF($E204="","",COUNT($E$11:$E204))</f>
      </c>
      <c r="B204" s="39"/>
      <c r="C204" s="39"/>
      <c r="D204" s="39"/>
      <c r="E204" t="str" s="30" cm="1">
        <f t="array" ref="E204">IF($D204="","",_xlfn.IFERROR(IF($I204=-1,IF($D204&lt;0.5,$D204*86400,IF($D204&lt;100,$D204*1440,$D204)),IF($I204=2,VALUE(LEFT($D204,$J204-1))*3600+VALUE(MID($D204,$J204+1,$K204-$J204-1))*60,IF($I204=1,VALUE(LEFT($D204,$J204-1))*60,0))+IF($M204=0,VALUE($L204),VALUE(LEFT($L204,$M204-1))+VALUE(MID($L204,$M204+1,10))/10^(LEN($L204)-$M204))),""))</f>
      </c>
      <c r="F204" t="str" s="30" cm="1">
        <f t="array" ref="F204">IF($E204="","",MAX(0,$I$7-$E204))</f>
      </c>
      <c r="G204" t="str" s="30" cm="1">
        <f t="array" ref="G204">IF($E204="","",$F204*$D$7)</f>
      </c>
      <c r="H204" t="str" s="30" cm="1">
        <f t="array" ref="H204">IF($E204="","",$T204+IF(AND($V$6&gt;=$D$8,COUNT($E$11:$E204)=$V$7+1),$D$8,0))</f>
      </c>
      <c r="I204" t="str" s="30" cm="1">
        <f t="array" ref="I204">IF($D204="","",IF(ISTEXT($D204),LEN($D204)-LEN(SUBSTITUTE($D204,":","")),-1))</f>
      </c>
      <c r="J204" s="29" cm="1">
        <f t="array" ref="J204">_xlfn.IFERROR(FIND(":",$D204),0)</f>
        <v>0</v>
      </c>
      <c r="K204" s="29" cm="1">
        <f t="array" ref="K204">_xlfn.IFERROR(FIND(":",$D204,$J204+1),0)</f>
        <v>0</v>
      </c>
      <c r="L204" t="str" s="30" cm="1">
        <f t="array" ref="L204">IF($D204="","",IF($I204=2,MID($D204,$K204+1,10),IF($I204=1,MID($D204,$J204+1,10),IF($I204=0,$D204,""))))</f>
      </c>
      <c r="M204" s="29" cm="1">
        <f t="array" ref="M204">IF($L204="",0,_xlfn.IFERROR(FIND(".",SUBSTITUTE($L204,",",".")),0))</f>
        <v>0</v>
      </c>
      <c r="N204" s="29" cm="1">
        <f t="array" ref="N204">IF($E204="",10^9,$E204)</f>
        <v>1000000000</v>
      </c>
      <c r="O204" t="str" s="30" cm="1">
        <f t="array" ref="O204">IF($E204="","",SUM($E$11:$E204))</f>
      </c>
      <c r="P204" t="str" s="30" cm="1">
        <f t="array" ref="P204">IF($E204="","",($D$6/$D$7+$O204)/COUNT($E$11:$E204))</f>
      </c>
      <c r="Q204" s="29" cm="1">
        <f t="array" ref="Q204">IF($E204="",0,IF(AND($E204&lt;$P204,OR($E205="",$P204&lt;=$E205)),1,0))</f>
        <v>0</v>
      </c>
      <c r="R204" s="27" cm="1">
        <f t="array" ref="R204">IF($V$4=0,"",ROUND($V$4,1)-10+(204-11)*0.1)</f>
        <v>3164.5</v>
      </c>
      <c r="S204" s="28">
        <v>5000</v>
      </c>
      <c r="T204" t="str" s="30" cm="1">
        <f t="array" ref="T204">IF($E204="","",ROUND($G204/$D$8,0)*$D$8)</f>
      </c>
      <c r="U204" s="14"/>
      <c r="V204" s="8"/>
    </row>
    <row r="205" ht="13.55" customHeight="1">
      <c r="A205" t="str" s="30" cm="1">
        <f t="array" ref="A205">IF($E205="","",COUNT($E$11:$E205))</f>
      </c>
      <c r="B205" s="39"/>
      <c r="C205" s="39"/>
      <c r="D205" s="39"/>
      <c r="E205" t="str" s="30" cm="1">
        <f t="array" ref="E205">IF($D205="","",_xlfn.IFERROR(IF($I205=-1,IF($D205&lt;0.5,$D205*86400,IF($D205&lt;100,$D205*1440,$D205)),IF($I205=2,VALUE(LEFT($D205,$J205-1))*3600+VALUE(MID($D205,$J205+1,$K205-$J205-1))*60,IF($I205=1,VALUE(LEFT($D205,$J205-1))*60,0))+IF($M205=0,VALUE($L205),VALUE(LEFT($L205,$M205-1))+VALUE(MID($L205,$M205+1,10))/10^(LEN($L205)-$M205))),""))</f>
      </c>
      <c r="F205" t="str" s="30" cm="1">
        <f t="array" ref="F205">IF($E205="","",MAX(0,$I$7-$E205))</f>
      </c>
      <c r="G205" t="str" s="30" cm="1">
        <f t="array" ref="G205">IF($E205="","",$F205*$D$7)</f>
      </c>
      <c r="H205" t="str" s="30" cm="1">
        <f t="array" ref="H205">IF($E205="","",$T205+IF(AND($V$6&gt;=$D$8,COUNT($E$11:$E205)=$V$7+1),$D$8,0))</f>
      </c>
      <c r="I205" t="str" s="30" cm="1">
        <f t="array" ref="I205">IF($D205="","",IF(ISTEXT($D205),LEN($D205)-LEN(SUBSTITUTE($D205,":","")),-1))</f>
      </c>
      <c r="J205" s="29" cm="1">
        <f t="array" ref="J205">_xlfn.IFERROR(FIND(":",$D205),0)</f>
        <v>0</v>
      </c>
      <c r="K205" s="29" cm="1">
        <f t="array" ref="K205">_xlfn.IFERROR(FIND(":",$D205,$J205+1),0)</f>
        <v>0</v>
      </c>
      <c r="L205" t="str" s="30" cm="1">
        <f t="array" ref="L205">IF($D205="","",IF($I205=2,MID($D205,$K205+1,10),IF($I205=1,MID($D205,$J205+1,10),IF($I205=0,$D205,""))))</f>
      </c>
      <c r="M205" s="29" cm="1">
        <f t="array" ref="M205">IF($L205="",0,_xlfn.IFERROR(FIND(".",SUBSTITUTE($L205,",",".")),0))</f>
        <v>0</v>
      </c>
      <c r="N205" s="29" cm="1">
        <f t="array" ref="N205">IF($E205="",10^9,$E205)</f>
        <v>1000000000</v>
      </c>
      <c r="O205" t="str" s="30" cm="1">
        <f t="array" ref="O205">IF($E205="","",SUM($E$11:$E205))</f>
      </c>
      <c r="P205" t="str" s="30" cm="1">
        <f t="array" ref="P205">IF($E205="","",($D$6/$D$7+$O205)/COUNT($E$11:$E205))</f>
      </c>
      <c r="Q205" s="29" cm="1">
        <f t="array" ref="Q205">IF($E205="",0,IF(AND($E205&lt;$P205,OR($E206="",$P205&lt;=$E206)),1,0))</f>
        <v>0</v>
      </c>
      <c r="R205" s="27" cm="1">
        <f t="array" ref="R205">IF($V$4=0,"",ROUND($V$4,1)-10+(205-11)*0.1)</f>
        <v>3164.6</v>
      </c>
      <c r="S205" s="28">
        <v>5000</v>
      </c>
      <c r="T205" t="str" s="30" cm="1">
        <f t="array" ref="T205">IF($E205="","",ROUND($G205/$D$8,0)*$D$8)</f>
      </c>
      <c r="U205" s="14"/>
      <c r="V205" s="8"/>
    </row>
    <row r="206" ht="13.55" customHeight="1">
      <c r="A206" t="str" s="30" cm="1">
        <f t="array" ref="A206">IF($E206="","",COUNT($E$11:$E206))</f>
      </c>
      <c r="B206" s="39"/>
      <c r="C206" s="39"/>
      <c r="D206" s="39"/>
      <c r="E206" t="str" s="30" cm="1">
        <f t="array" ref="E206">IF($D206="","",_xlfn.IFERROR(IF($I206=-1,IF($D206&lt;0.5,$D206*86400,IF($D206&lt;100,$D206*1440,$D206)),IF($I206=2,VALUE(LEFT($D206,$J206-1))*3600+VALUE(MID($D206,$J206+1,$K206-$J206-1))*60,IF($I206=1,VALUE(LEFT($D206,$J206-1))*60,0))+IF($M206=0,VALUE($L206),VALUE(LEFT($L206,$M206-1))+VALUE(MID($L206,$M206+1,10))/10^(LEN($L206)-$M206))),""))</f>
      </c>
      <c r="F206" t="str" s="30" cm="1">
        <f t="array" ref="F206">IF($E206="","",MAX(0,$I$7-$E206))</f>
      </c>
      <c r="G206" t="str" s="30" cm="1">
        <f t="array" ref="G206">IF($E206="","",$F206*$D$7)</f>
      </c>
      <c r="H206" t="str" s="30" cm="1">
        <f t="array" ref="H206">IF($E206="","",$T206+IF(AND($V$6&gt;=$D$8,COUNT($E$11:$E206)=$V$7+1),$D$8,0))</f>
      </c>
      <c r="I206" t="str" s="30" cm="1">
        <f t="array" ref="I206">IF($D206="","",IF(ISTEXT($D206),LEN($D206)-LEN(SUBSTITUTE($D206,":","")),-1))</f>
      </c>
      <c r="J206" s="29" cm="1">
        <f t="array" ref="J206">_xlfn.IFERROR(FIND(":",$D206),0)</f>
        <v>0</v>
      </c>
      <c r="K206" s="29" cm="1">
        <f t="array" ref="K206">_xlfn.IFERROR(FIND(":",$D206,$J206+1),0)</f>
        <v>0</v>
      </c>
      <c r="L206" t="str" s="30" cm="1">
        <f t="array" ref="L206">IF($D206="","",IF($I206=2,MID($D206,$K206+1,10),IF($I206=1,MID($D206,$J206+1,10),IF($I206=0,$D206,""))))</f>
      </c>
      <c r="M206" s="29" cm="1">
        <f t="array" ref="M206">IF($L206="",0,_xlfn.IFERROR(FIND(".",SUBSTITUTE($L206,",",".")),0))</f>
        <v>0</v>
      </c>
      <c r="N206" s="29" cm="1">
        <f t="array" ref="N206">IF($E206="",10^9,$E206)</f>
        <v>1000000000</v>
      </c>
      <c r="O206" t="str" s="30" cm="1">
        <f t="array" ref="O206">IF($E206="","",SUM($E$11:$E206))</f>
      </c>
      <c r="P206" t="str" s="30" cm="1">
        <f t="array" ref="P206">IF($E206="","",($D$6/$D$7+$O206)/COUNT($E$11:$E206))</f>
      </c>
      <c r="Q206" s="29" cm="1">
        <f t="array" ref="Q206">IF($E206="",0,IF(AND($E206&lt;$P206,OR($E207="",$P206&lt;=$E207)),1,0))</f>
        <v>0</v>
      </c>
      <c r="R206" s="27" cm="1">
        <f t="array" ref="R206">IF($V$4=0,"",ROUND($V$4,1)-10+(206-11)*0.1)</f>
        <v>3164.7</v>
      </c>
      <c r="S206" s="28">
        <v>5000</v>
      </c>
      <c r="T206" t="str" s="30" cm="1">
        <f t="array" ref="T206">IF($E206="","",ROUND($G206/$D$8,0)*$D$8)</f>
      </c>
      <c r="U206" s="14"/>
      <c r="V206" s="8"/>
    </row>
    <row r="207" ht="13.55" customHeight="1">
      <c r="A207" t="str" s="30" cm="1">
        <f t="array" ref="A207">IF($E207="","",COUNT($E$11:$E207))</f>
      </c>
      <c r="B207" s="39"/>
      <c r="C207" s="39"/>
      <c r="D207" s="39"/>
      <c r="E207" t="str" s="30" cm="1">
        <f t="array" ref="E207">IF($D207="","",_xlfn.IFERROR(IF($I207=-1,IF($D207&lt;0.5,$D207*86400,IF($D207&lt;100,$D207*1440,$D207)),IF($I207=2,VALUE(LEFT($D207,$J207-1))*3600+VALUE(MID($D207,$J207+1,$K207-$J207-1))*60,IF($I207=1,VALUE(LEFT($D207,$J207-1))*60,0))+IF($M207=0,VALUE($L207),VALUE(LEFT($L207,$M207-1))+VALUE(MID($L207,$M207+1,10))/10^(LEN($L207)-$M207))),""))</f>
      </c>
      <c r="F207" t="str" s="30" cm="1">
        <f t="array" ref="F207">IF($E207="","",MAX(0,$I$7-$E207))</f>
      </c>
      <c r="G207" t="str" s="30" cm="1">
        <f t="array" ref="G207">IF($E207="","",$F207*$D$7)</f>
      </c>
      <c r="H207" t="str" s="30" cm="1">
        <f t="array" ref="H207">IF($E207="","",$T207+IF(AND($V$6&gt;=$D$8,COUNT($E$11:$E207)=$V$7+1),$D$8,0))</f>
      </c>
      <c r="I207" t="str" s="30" cm="1">
        <f t="array" ref="I207">IF($D207="","",IF(ISTEXT($D207),LEN($D207)-LEN(SUBSTITUTE($D207,":","")),-1))</f>
      </c>
      <c r="J207" s="29" cm="1">
        <f t="array" ref="J207">_xlfn.IFERROR(FIND(":",$D207),0)</f>
        <v>0</v>
      </c>
      <c r="K207" s="29" cm="1">
        <f t="array" ref="K207">_xlfn.IFERROR(FIND(":",$D207,$J207+1),0)</f>
        <v>0</v>
      </c>
      <c r="L207" t="str" s="30" cm="1">
        <f t="array" ref="L207">IF($D207="","",IF($I207=2,MID($D207,$K207+1,10),IF($I207=1,MID($D207,$J207+1,10),IF($I207=0,$D207,""))))</f>
      </c>
      <c r="M207" s="29" cm="1">
        <f t="array" ref="M207">IF($L207="",0,_xlfn.IFERROR(FIND(".",SUBSTITUTE($L207,",",".")),0))</f>
        <v>0</v>
      </c>
      <c r="N207" s="29" cm="1">
        <f t="array" ref="N207">IF($E207="",10^9,$E207)</f>
        <v>1000000000</v>
      </c>
      <c r="O207" t="str" s="30" cm="1">
        <f t="array" ref="O207">IF($E207="","",SUM($E$11:$E207))</f>
      </c>
      <c r="P207" t="str" s="30" cm="1">
        <f t="array" ref="P207">IF($E207="","",($D$6/$D$7+$O207)/COUNT($E$11:$E207))</f>
      </c>
      <c r="Q207" s="29" cm="1">
        <f t="array" ref="Q207">IF($E207="",0,IF(AND($E207&lt;$P207,OR($E208="",$P207&lt;=$E208)),1,0))</f>
        <v>0</v>
      </c>
      <c r="R207" s="27" cm="1">
        <f t="array" ref="R207">IF($V$4=0,"",ROUND($V$4,1)-10+(207-11)*0.1)</f>
        <v>3164.8</v>
      </c>
      <c r="S207" s="28">
        <v>5000</v>
      </c>
      <c r="T207" t="str" s="30" cm="1">
        <f t="array" ref="T207">IF($E207="","",ROUND($G207/$D$8,0)*$D$8)</f>
      </c>
      <c r="U207" s="14"/>
      <c r="V207" s="8"/>
    </row>
    <row r="208" ht="13.55" customHeight="1">
      <c r="A208" t="str" s="30" cm="1">
        <f t="array" ref="A208">IF($E208="","",COUNT($E$11:$E208))</f>
      </c>
      <c r="B208" s="39"/>
      <c r="C208" s="39"/>
      <c r="D208" s="39"/>
      <c r="E208" t="str" s="30" cm="1">
        <f t="array" ref="E208">IF($D208="","",_xlfn.IFERROR(IF($I208=-1,IF($D208&lt;0.5,$D208*86400,IF($D208&lt;100,$D208*1440,$D208)),IF($I208=2,VALUE(LEFT($D208,$J208-1))*3600+VALUE(MID($D208,$J208+1,$K208-$J208-1))*60,IF($I208=1,VALUE(LEFT($D208,$J208-1))*60,0))+IF($M208=0,VALUE($L208),VALUE(LEFT($L208,$M208-1))+VALUE(MID($L208,$M208+1,10))/10^(LEN($L208)-$M208))),""))</f>
      </c>
      <c r="F208" t="str" s="30" cm="1">
        <f t="array" ref="F208">IF($E208="","",MAX(0,$I$7-$E208))</f>
      </c>
      <c r="G208" t="str" s="30" cm="1">
        <f t="array" ref="G208">IF($E208="","",$F208*$D$7)</f>
      </c>
      <c r="H208" t="str" s="30" cm="1">
        <f t="array" ref="H208">IF($E208="","",$T208+IF(AND($V$6&gt;=$D$8,COUNT($E$11:$E208)=$V$7+1),$D$8,0))</f>
      </c>
      <c r="I208" t="str" s="30" cm="1">
        <f t="array" ref="I208">IF($D208="","",IF(ISTEXT($D208),LEN($D208)-LEN(SUBSTITUTE($D208,":","")),-1))</f>
      </c>
      <c r="J208" s="29" cm="1">
        <f t="array" ref="J208">_xlfn.IFERROR(FIND(":",$D208),0)</f>
        <v>0</v>
      </c>
      <c r="K208" s="29" cm="1">
        <f t="array" ref="K208">_xlfn.IFERROR(FIND(":",$D208,$J208+1),0)</f>
        <v>0</v>
      </c>
      <c r="L208" t="str" s="30" cm="1">
        <f t="array" ref="L208">IF($D208="","",IF($I208=2,MID($D208,$K208+1,10),IF($I208=1,MID($D208,$J208+1,10),IF($I208=0,$D208,""))))</f>
      </c>
      <c r="M208" s="29" cm="1">
        <f t="array" ref="M208">IF($L208="",0,_xlfn.IFERROR(FIND(".",SUBSTITUTE($L208,",",".")),0))</f>
        <v>0</v>
      </c>
      <c r="N208" s="29" cm="1">
        <f t="array" ref="N208">IF($E208="",10^9,$E208)</f>
        <v>1000000000</v>
      </c>
      <c r="O208" t="str" s="30" cm="1">
        <f t="array" ref="O208">IF($E208="","",SUM($E$11:$E208))</f>
      </c>
      <c r="P208" t="str" s="30" cm="1">
        <f t="array" ref="P208">IF($E208="","",($D$6/$D$7+$O208)/COUNT($E$11:$E208))</f>
      </c>
      <c r="Q208" s="29" cm="1">
        <f t="array" ref="Q208">IF($E208="",0,IF(AND($E208&lt;$P208,OR($E209="",$P208&lt;=$E209)),1,0))</f>
        <v>0</v>
      </c>
      <c r="R208" s="27" cm="1">
        <f t="array" ref="R208">IF($V$4=0,"",ROUND($V$4,1)-10+(208-11)*0.1)</f>
        <v>3164.9</v>
      </c>
      <c r="S208" s="28">
        <v>5000</v>
      </c>
      <c r="T208" t="str" s="30" cm="1">
        <f t="array" ref="T208">IF($E208="","",ROUND($G208/$D$8,0)*$D$8)</f>
      </c>
      <c r="U208" s="14"/>
      <c r="V208" s="8"/>
    </row>
    <row r="209" ht="13.55" customHeight="1">
      <c r="A209" t="str" s="30" cm="1">
        <f t="array" ref="A209">IF($E209="","",COUNT($E$11:$E209))</f>
      </c>
      <c r="B209" s="39"/>
      <c r="C209" s="39"/>
      <c r="D209" s="39"/>
      <c r="E209" t="str" s="30" cm="1">
        <f t="array" ref="E209">IF($D209="","",_xlfn.IFERROR(IF($I209=-1,IF($D209&lt;0.5,$D209*86400,IF($D209&lt;100,$D209*1440,$D209)),IF($I209=2,VALUE(LEFT($D209,$J209-1))*3600+VALUE(MID($D209,$J209+1,$K209-$J209-1))*60,IF($I209=1,VALUE(LEFT($D209,$J209-1))*60,0))+IF($M209=0,VALUE($L209),VALUE(LEFT($L209,$M209-1))+VALUE(MID($L209,$M209+1,10))/10^(LEN($L209)-$M209))),""))</f>
      </c>
      <c r="F209" t="str" s="30" cm="1">
        <f t="array" ref="F209">IF($E209="","",MAX(0,$I$7-$E209))</f>
      </c>
      <c r="G209" t="str" s="30" cm="1">
        <f t="array" ref="G209">IF($E209="","",$F209*$D$7)</f>
      </c>
      <c r="H209" t="str" s="30" cm="1">
        <f t="array" ref="H209">IF($E209="","",$T209+IF(AND($V$6&gt;=$D$8,COUNT($E$11:$E209)=$V$7+1),$D$8,0))</f>
      </c>
      <c r="I209" t="str" s="30" cm="1">
        <f t="array" ref="I209">IF($D209="","",IF(ISTEXT($D209),LEN($D209)-LEN(SUBSTITUTE($D209,":","")),-1))</f>
      </c>
      <c r="J209" s="29" cm="1">
        <f t="array" ref="J209">_xlfn.IFERROR(FIND(":",$D209),0)</f>
        <v>0</v>
      </c>
      <c r="K209" s="29" cm="1">
        <f t="array" ref="K209">_xlfn.IFERROR(FIND(":",$D209,$J209+1),0)</f>
        <v>0</v>
      </c>
      <c r="L209" t="str" s="30" cm="1">
        <f t="array" ref="L209">IF($D209="","",IF($I209=2,MID($D209,$K209+1,10),IF($I209=1,MID($D209,$J209+1,10),IF($I209=0,$D209,""))))</f>
      </c>
      <c r="M209" s="29" cm="1">
        <f t="array" ref="M209">IF($L209="",0,_xlfn.IFERROR(FIND(".",SUBSTITUTE($L209,",",".")),0))</f>
        <v>0</v>
      </c>
      <c r="N209" s="29" cm="1">
        <f t="array" ref="N209">IF($E209="",10^9,$E209)</f>
        <v>1000000000</v>
      </c>
      <c r="O209" t="str" s="30" cm="1">
        <f t="array" ref="O209">IF($E209="","",SUM($E$11:$E209))</f>
      </c>
      <c r="P209" t="str" s="30" cm="1">
        <f t="array" ref="P209">IF($E209="","",($D$6/$D$7+$O209)/COUNT($E$11:$E209))</f>
      </c>
      <c r="Q209" s="29" cm="1">
        <f t="array" ref="Q209">IF($E209="",0,IF(AND($E209&lt;$P209,OR($E210="",$P209&lt;=$E210)),1,0))</f>
        <v>0</v>
      </c>
      <c r="R209" s="27" cm="1">
        <f t="array" ref="R209">IF($V$4=0,"",ROUND($V$4,1)-10+(209-11)*0.1)</f>
        <v>3165</v>
      </c>
      <c r="S209" s="28">
        <v>5000</v>
      </c>
      <c r="T209" t="str" s="30" cm="1">
        <f t="array" ref="T209">IF($E209="","",ROUND($G209/$D$8,0)*$D$8)</f>
      </c>
      <c r="U209" s="14"/>
      <c r="V209" s="8"/>
    </row>
    <row r="210" ht="13.55" customHeight="1">
      <c r="A210" t="str" s="30" cm="1">
        <f t="array" ref="A210">IF($E210="","",COUNT($E$11:$E210))</f>
      </c>
      <c r="B210" s="39"/>
      <c r="C210" s="39"/>
      <c r="D210" s="39"/>
      <c r="E210" t="str" s="30" cm="1">
        <f t="array" ref="E210">IF($D210="","",_xlfn.IFERROR(IF($I210=-1,IF($D210&lt;0.5,$D210*86400,IF($D210&lt;100,$D210*1440,$D210)),IF($I210=2,VALUE(LEFT($D210,$J210-1))*3600+VALUE(MID($D210,$J210+1,$K210-$J210-1))*60,IF($I210=1,VALUE(LEFT($D210,$J210-1))*60,0))+IF($M210=0,VALUE($L210),VALUE(LEFT($L210,$M210-1))+VALUE(MID($L210,$M210+1,10))/10^(LEN($L210)-$M210))),""))</f>
      </c>
      <c r="F210" t="str" s="30" cm="1">
        <f t="array" ref="F210">IF($E210="","",MAX(0,$I$7-$E210))</f>
      </c>
      <c r="G210" t="str" s="30" cm="1">
        <f t="array" ref="G210">IF($E210="","",$F210*$D$7)</f>
      </c>
      <c r="H210" t="str" s="30" cm="1">
        <f t="array" ref="H210">IF($E210="","",$T210+IF(AND($V$6&gt;=$D$8,COUNT($E$11:$E210)=$V$7+1),$D$8,0))</f>
      </c>
      <c r="I210" t="str" s="30" cm="1">
        <f t="array" ref="I210">IF($D210="","",IF(ISTEXT($D210),LEN($D210)-LEN(SUBSTITUTE($D210,":","")),-1))</f>
      </c>
      <c r="J210" s="29" cm="1">
        <f t="array" ref="J210">_xlfn.IFERROR(FIND(":",$D210),0)</f>
        <v>0</v>
      </c>
      <c r="K210" s="29" cm="1">
        <f t="array" ref="K210">_xlfn.IFERROR(FIND(":",$D210,$J210+1),0)</f>
        <v>0</v>
      </c>
      <c r="L210" t="str" s="30" cm="1">
        <f t="array" ref="L210">IF($D210="","",IF($I210=2,MID($D210,$K210+1,10),IF($I210=1,MID($D210,$J210+1,10),IF($I210=0,$D210,""))))</f>
      </c>
      <c r="M210" s="29" cm="1">
        <f t="array" ref="M210">IF($L210="",0,_xlfn.IFERROR(FIND(".",SUBSTITUTE($L210,",",".")),0))</f>
        <v>0</v>
      </c>
      <c r="N210" s="29" cm="1">
        <f t="array" ref="N210">IF($E210="",10^9,$E210)</f>
        <v>1000000000</v>
      </c>
      <c r="O210" t="str" s="30" cm="1">
        <f t="array" ref="O210">IF($E210="","",SUM($E$11:$E210))</f>
      </c>
      <c r="P210" t="str" s="30" cm="1">
        <f t="array" ref="P210">IF($E210="","",($D$6/$D$7+$O210)/COUNT($E$11:$E210))</f>
      </c>
      <c r="Q210" s="29" cm="1">
        <f t="array" ref="Q210">IF($E210="",0,IF(AND($E210&lt;$P210,OR($E211="",$P210&lt;=$E211)),1,0))</f>
        <v>0</v>
      </c>
      <c r="R210" s="27" cm="1">
        <f t="array" ref="R210">IF($V$4=0,"",ROUND($V$4,1)-10+(210-11)*0.1)</f>
        <v>3165.1</v>
      </c>
      <c r="S210" s="28">
        <v>5000</v>
      </c>
      <c r="T210" t="str" s="30" cm="1">
        <f t="array" ref="T210">IF($E210="","",ROUND($G210/$D$8,0)*$D$8)</f>
      </c>
      <c r="U210" s="14"/>
      <c r="V210" s="8"/>
    </row>
    <row r="211" ht="13.55" customHeight="1">
      <c r="A211" s="17"/>
      <c r="B211" s="17"/>
      <c r="C211" s="17"/>
      <c r="D211" s="17"/>
      <c r="E211" s="17"/>
      <c r="F211" s="17"/>
      <c r="G211" s="17"/>
      <c r="H211" s="17"/>
      <c r="I211" s="17"/>
      <c r="J211" s="17"/>
      <c r="K211" s="17"/>
      <c r="L211" s="17"/>
      <c r="M211" s="17"/>
      <c r="N211" s="17"/>
      <c r="O211" s="17"/>
      <c r="P211" s="17"/>
      <c r="Q211" s="17"/>
      <c r="R211" s="17"/>
      <c r="S211" s="17"/>
      <c r="T211" s="17"/>
      <c r="U211" s="8"/>
      <c r="V211" s="8"/>
    </row>
  </sheetData>
  <mergeCells count="9">
    <mergeCell ref="F6:H6"/>
    <mergeCell ref="F5:H5"/>
    <mergeCell ref="A5:C5"/>
    <mergeCell ref="A8:C8"/>
    <mergeCell ref="A6:C6"/>
    <mergeCell ref="F4:H4"/>
    <mergeCell ref="A7:C7"/>
    <mergeCell ref="F7:H7"/>
    <mergeCell ref="A4:C4"/>
  </mergeCells>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dimension ref="A1:E34"/>
  <sheetViews>
    <sheetView workbookViewId="0" showGridLines="0" defaultGridColor="1"/>
  </sheetViews>
  <sheetFormatPr defaultColWidth="8.83333" defaultRowHeight="15" customHeight="1" outlineLevelRow="0" outlineLevelCol="0"/>
  <cols>
    <col min="1" max="1" width="100" style="44" customWidth="1"/>
    <col min="2" max="5" width="8.85156" style="44" customWidth="1"/>
    <col min="6" max="16384" width="8.85156" style="44" customWidth="1"/>
  </cols>
  <sheetData>
    <row r="1" ht="15.35" customHeight="1">
      <c r="A1" t="s" s="45">
        <v>119</v>
      </c>
      <c r="B1" s="8"/>
      <c r="C1" s="8"/>
      <c r="D1" s="8"/>
      <c r="E1" s="8"/>
    </row>
    <row r="2" ht="13.55" customHeight="1">
      <c r="A2" s="8"/>
      <c r="B2" s="8"/>
      <c r="C2" s="8"/>
      <c r="D2" s="8"/>
      <c r="E2" s="8"/>
    </row>
    <row r="3" ht="13.55" customHeight="1">
      <c r="A3" t="s" s="46">
        <v>120</v>
      </c>
      <c r="B3" s="8"/>
      <c r="C3" s="8"/>
      <c r="D3" s="8"/>
      <c r="E3" s="8"/>
    </row>
    <row r="4" ht="13.55" customHeight="1">
      <c r="A4" t="s" s="46">
        <v>121</v>
      </c>
      <c r="B4" s="8"/>
      <c r="C4" s="8"/>
      <c r="D4" s="8"/>
      <c r="E4" s="8"/>
    </row>
    <row r="5" ht="13.55" customHeight="1">
      <c r="A5" t="s" s="46">
        <v>122</v>
      </c>
      <c r="B5" s="8"/>
      <c r="C5" s="8"/>
      <c r="D5" s="8"/>
      <c r="E5" s="8"/>
    </row>
    <row r="6" ht="13.55" customHeight="1">
      <c r="A6" t="s" s="46">
        <v>123</v>
      </c>
      <c r="B6" s="8"/>
      <c r="C6" s="8"/>
      <c r="D6" s="8"/>
      <c r="E6" s="8"/>
    </row>
    <row r="7" ht="13.55" customHeight="1">
      <c r="A7" t="s" s="46">
        <v>124</v>
      </c>
      <c r="B7" s="8"/>
      <c r="C7" s="8"/>
      <c r="D7" s="8"/>
      <c r="E7" s="8"/>
    </row>
    <row r="8" ht="13.55" customHeight="1">
      <c r="A8" t="s" s="46">
        <v>125</v>
      </c>
      <c r="B8" s="8"/>
      <c r="C8" s="8"/>
      <c r="D8" s="8"/>
      <c r="E8" s="8"/>
    </row>
    <row r="9" ht="13.55" customHeight="1">
      <c r="A9" t="s" s="46">
        <v>126</v>
      </c>
      <c r="B9" s="8"/>
      <c r="C9" s="8"/>
      <c r="D9" s="8"/>
      <c r="E9" s="8"/>
    </row>
    <row r="10" ht="13.55" customHeight="1">
      <c r="A10" t="s" s="46">
        <v>127</v>
      </c>
      <c r="B10" s="8"/>
      <c r="C10" s="8"/>
      <c r="D10" s="8"/>
      <c r="E10" s="8"/>
    </row>
    <row r="11" ht="13.55" customHeight="1">
      <c r="A11" t="s" s="46">
        <v>128</v>
      </c>
      <c r="B11" s="8"/>
      <c r="C11" s="8"/>
      <c r="D11" s="8"/>
      <c r="E11" s="8"/>
    </row>
    <row r="12" ht="13.55" customHeight="1">
      <c r="A12" t="s" s="46">
        <v>129</v>
      </c>
      <c r="B12" s="8"/>
      <c r="C12" s="8"/>
      <c r="D12" s="8"/>
      <c r="E12" s="8"/>
    </row>
    <row r="13" ht="13.55" customHeight="1">
      <c r="A13" t="s" s="46">
        <v>130</v>
      </c>
      <c r="B13" s="8"/>
      <c r="C13" s="8"/>
      <c r="D13" s="8"/>
      <c r="E13" s="8"/>
    </row>
    <row r="14" ht="13.55" customHeight="1">
      <c r="A14" t="s" s="46">
        <v>131</v>
      </c>
      <c r="B14" s="8"/>
      <c r="C14" s="8"/>
      <c r="D14" s="8"/>
      <c r="E14" s="8"/>
    </row>
    <row r="15" ht="13.55" customHeight="1">
      <c r="A15" t="s" s="46">
        <v>132</v>
      </c>
      <c r="B15" s="8"/>
      <c r="C15" s="8"/>
      <c r="D15" s="8"/>
      <c r="E15" s="8"/>
    </row>
    <row r="16" ht="13.55" customHeight="1">
      <c r="A16" s="8"/>
      <c r="B16" s="8"/>
      <c r="C16" s="8"/>
      <c r="D16" s="8"/>
      <c r="E16" s="8"/>
    </row>
    <row r="17" ht="15.35" customHeight="1">
      <c r="A17" t="s" s="45">
        <v>133</v>
      </c>
      <c r="B17" s="8"/>
      <c r="C17" s="8"/>
      <c r="D17" s="8"/>
      <c r="E17" s="8"/>
    </row>
    <row r="18" ht="13.55" customHeight="1">
      <c r="A18" s="8"/>
      <c r="B18" s="8"/>
      <c r="C18" s="8"/>
      <c r="D18" s="8"/>
      <c r="E18" s="8"/>
    </row>
    <row r="19" ht="13.55" customHeight="1">
      <c r="A19" t="s" s="46">
        <v>134</v>
      </c>
      <c r="B19" s="8"/>
      <c r="C19" s="8"/>
      <c r="D19" s="8"/>
      <c r="E19" s="8"/>
    </row>
    <row r="20" ht="13.55" customHeight="1">
      <c r="A20" t="s" s="46">
        <v>135</v>
      </c>
      <c r="B20" s="8"/>
      <c r="C20" s="8"/>
      <c r="D20" s="8"/>
      <c r="E20" s="8"/>
    </row>
    <row r="21" ht="13.55" customHeight="1">
      <c r="A21" t="s" s="46">
        <v>136</v>
      </c>
      <c r="B21" s="8"/>
      <c r="C21" s="8"/>
      <c r="D21" s="8"/>
      <c r="E21" s="8"/>
    </row>
    <row r="22" ht="13.55" customHeight="1">
      <c r="A22" t="s" s="46">
        <v>137</v>
      </c>
      <c r="B22" s="8"/>
      <c r="C22" s="8"/>
      <c r="D22" s="8"/>
      <c r="E22" s="8"/>
    </row>
    <row r="23" ht="13.55" customHeight="1">
      <c r="A23" s="8"/>
      <c r="B23" s="8"/>
      <c r="C23" s="8"/>
      <c r="D23" s="8"/>
      <c r="E23" s="8"/>
    </row>
    <row r="24" ht="13.55" customHeight="1">
      <c r="A24" t="s" s="46">
        <v>138</v>
      </c>
      <c r="B24" s="8"/>
      <c r="C24" s="8"/>
      <c r="D24" s="8"/>
      <c r="E24" s="8"/>
    </row>
    <row r="25" ht="13.55" customHeight="1">
      <c r="A25" t="s" s="46">
        <v>139</v>
      </c>
      <c r="B25" s="8"/>
      <c r="C25" s="8"/>
      <c r="D25" s="8"/>
      <c r="E25" s="8"/>
    </row>
    <row r="26" ht="13.55" customHeight="1">
      <c r="A26" t="s" s="46">
        <v>140</v>
      </c>
      <c r="B26" s="8"/>
      <c r="C26" s="8"/>
      <c r="D26" s="8"/>
      <c r="E26" s="8"/>
    </row>
    <row r="27" ht="13.55" customHeight="1">
      <c r="A27" t="s" s="46">
        <v>141</v>
      </c>
      <c r="B27" s="8"/>
      <c r="C27" s="8"/>
      <c r="D27" s="8"/>
      <c r="E27" s="8"/>
    </row>
    <row r="28" ht="13.55" customHeight="1">
      <c r="A28" s="8"/>
      <c r="B28" s="8"/>
      <c r="C28" s="8"/>
      <c r="D28" s="8"/>
      <c r="E28" s="8"/>
    </row>
    <row r="29" ht="13.55" customHeight="1">
      <c r="A29" t="s" s="46">
        <v>142</v>
      </c>
      <c r="B29" s="8"/>
      <c r="C29" s="8"/>
      <c r="D29" s="8"/>
      <c r="E29" s="8"/>
    </row>
    <row r="30" ht="13.55" customHeight="1">
      <c r="A30" t="s" s="46">
        <v>143</v>
      </c>
      <c r="B30" s="8"/>
      <c r="C30" s="8"/>
      <c r="D30" s="8"/>
      <c r="E30" s="8"/>
    </row>
    <row r="31" ht="13.55" customHeight="1">
      <c r="A31" t="s" s="46">
        <v>144</v>
      </c>
      <c r="B31" s="8"/>
      <c r="C31" s="8"/>
      <c r="D31" s="8"/>
      <c r="E31" s="8"/>
    </row>
    <row r="32" ht="13.55" customHeight="1">
      <c r="A32" s="8"/>
      <c r="B32" s="8"/>
      <c r="C32" s="8"/>
      <c r="D32" s="8"/>
      <c r="E32" s="8"/>
    </row>
    <row r="33" ht="13.55" customHeight="1">
      <c r="A33" t="s" s="46">
        <v>145</v>
      </c>
      <c r="B33" s="8"/>
      <c r="C33" s="8"/>
      <c r="D33" s="8"/>
      <c r="E33" s="8"/>
    </row>
    <row r="34" ht="13.55" customHeight="1">
      <c r="A34" t="s" s="46">
        <v>146</v>
      </c>
      <c r="B34" s="8"/>
      <c r="C34" s="8"/>
      <c r="D34" s="8"/>
      <c r="E34" s="8"/>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